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IST\IST-main\IST-Trabalhos\0 Artigos\2023 Norris Extended\"/>
    </mc:Choice>
  </mc:AlternateContent>
  <xr:revisionPtr revIDLastSave="0" documentId="13_ncr:1_{EE3E7E64-7F7E-49DA-A973-5C199A1D58EB}" xr6:coauthVersionLast="47" xr6:coauthVersionMax="47" xr10:uidLastSave="{00000000-0000-0000-0000-000000000000}"/>
  <bookViews>
    <workbookView xWindow="-19320" yWindow="645" windowWidth="19440" windowHeight="15000" xr2:uid="{2DE4FFAE-14D0-4791-BD68-A76C72EDDE4F}"/>
  </bookViews>
  <sheets>
    <sheet name="Cover" sheetId="16" r:id="rId1"/>
    <sheet name="BSCCO (1st Gen.)" sheetId="14" r:id="rId2"/>
    <sheet name="ReBCO (2nd Gen.)" sheetId="1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4" l="1"/>
  <c r="K41" i="14"/>
  <c r="L41" i="14"/>
  <c r="M41" i="14"/>
  <c r="N41" i="14"/>
  <c r="O41" i="14"/>
  <c r="P41" i="14"/>
  <c r="Q41" i="14"/>
  <c r="R41" i="14"/>
  <c r="S41" i="14"/>
  <c r="T41" i="14"/>
  <c r="U41" i="14"/>
  <c r="V41" i="14"/>
  <c r="W41" i="14"/>
  <c r="X41" i="14"/>
  <c r="I41" i="14"/>
  <c r="J26" i="14"/>
  <c r="K26" i="14"/>
  <c r="L26" i="14"/>
  <c r="M26" i="14"/>
  <c r="N26" i="14"/>
  <c r="O26" i="14"/>
  <c r="P26" i="14"/>
  <c r="Q26" i="14"/>
  <c r="R26" i="14"/>
  <c r="S26" i="14"/>
  <c r="T26" i="14"/>
  <c r="U26" i="14"/>
  <c r="V26" i="14"/>
  <c r="W26" i="14"/>
  <c r="X26" i="14"/>
  <c r="I26" i="14"/>
  <c r="K39" i="15"/>
  <c r="V39" i="15"/>
  <c r="F10" i="14"/>
  <c r="F9" i="14"/>
  <c r="B38" i="15"/>
  <c r="B51" i="15"/>
  <c r="B50" i="15"/>
  <c r="X38" i="15"/>
  <c r="X39" i="15" s="1"/>
  <c r="W38" i="15"/>
  <c r="W39" i="15" s="1"/>
  <c r="V38" i="15"/>
  <c r="U38" i="15"/>
  <c r="U39" i="15" s="1"/>
  <c r="T38" i="15"/>
  <c r="T39" i="15" s="1"/>
  <c r="S38" i="15"/>
  <c r="S39" i="15" s="1"/>
  <c r="R38" i="15"/>
  <c r="R39" i="15" s="1"/>
  <c r="Q38" i="15"/>
  <c r="Q39" i="15" s="1"/>
  <c r="P38" i="15"/>
  <c r="P39" i="15" s="1"/>
  <c r="O38" i="15"/>
  <c r="N38" i="15"/>
  <c r="M38" i="15"/>
  <c r="M39" i="15" s="1"/>
  <c r="L38" i="15"/>
  <c r="K38" i="15"/>
  <c r="J38" i="15"/>
  <c r="J39" i="15" s="1"/>
  <c r="I38" i="15"/>
  <c r="I39" i="15" s="1"/>
  <c r="H38" i="15"/>
  <c r="H39" i="15" s="1"/>
  <c r="X31" i="15"/>
  <c r="W31" i="15"/>
  <c r="V31" i="15"/>
  <c r="U31" i="15"/>
  <c r="T31" i="15"/>
  <c r="S31" i="15"/>
  <c r="R31" i="15"/>
  <c r="Q31" i="15"/>
  <c r="P31" i="15"/>
  <c r="O31" i="15"/>
  <c r="N31" i="15"/>
  <c r="M31" i="15"/>
  <c r="L31" i="15"/>
  <c r="K31" i="15"/>
  <c r="J31" i="15"/>
  <c r="I31" i="15"/>
  <c r="H31" i="15"/>
  <c r="X23" i="15"/>
  <c r="X27" i="15" s="1"/>
  <c r="X29" i="15" s="1"/>
  <c r="W23" i="15"/>
  <c r="W27" i="15" s="1"/>
  <c r="W29" i="15" s="1"/>
  <c r="V23" i="15"/>
  <c r="V27" i="15" s="1"/>
  <c r="V29" i="15" s="1"/>
  <c r="U23" i="15"/>
  <c r="U24" i="15" s="1"/>
  <c r="T23" i="15"/>
  <c r="T27" i="15" s="1"/>
  <c r="T29" i="15" s="1"/>
  <c r="S23" i="15"/>
  <c r="S24" i="15" s="1"/>
  <c r="R23" i="15"/>
  <c r="R27" i="15" s="1"/>
  <c r="R29" i="15" s="1"/>
  <c r="Q23" i="15"/>
  <c r="Q27" i="15" s="1"/>
  <c r="Q29" i="15" s="1"/>
  <c r="P23" i="15"/>
  <c r="P27" i="15" s="1"/>
  <c r="P29" i="15" s="1"/>
  <c r="O23" i="15"/>
  <c r="O24" i="15" s="1"/>
  <c r="N23" i="15"/>
  <c r="N27" i="15" s="1"/>
  <c r="N29" i="15" s="1"/>
  <c r="M23" i="15"/>
  <c r="M24" i="15" s="1"/>
  <c r="L23" i="15"/>
  <c r="L27" i="15" s="1"/>
  <c r="L29" i="15" s="1"/>
  <c r="K23" i="15"/>
  <c r="K24" i="15" s="1"/>
  <c r="J23" i="15"/>
  <c r="J27" i="15" s="1"/>
  <c r="J29" i="15" s="1"/>
  <c r="I23" i="15"/>
  <c r="I24" i="15" s="1"/>
  <c r="H23" i="15"/>
  <c r="H27" i="15" s="1"/>
  <c r="H29" i="15" s="1"/>
  <c r="B22" i="15"/>
  <c r="BJ18" i="15"/>
  <c r="BI18" i="15"/>
  <c r="BH18" i="15"/>
  <c r="BG18" i="15"/>
  <c r="BF18" i="15"/>
  <c r="BE18" i="15"/>
  <c r="BD18" i="15"/>
  <c r="BC18" i="15"/>
  <c r="BB18" i="15"/>
  <c r="BA18" i="15"/>
  <c r="AZ18" i="15"/>
  <c r="AY18" i="15"/>
  <c r="AX18" i="15"/>
  <c r="AW18" i="15"/>
  <c r="AV18" i="15"/>
  <c r="AU18" i="15"/>
  <c r="AT18" i="15"/>
  <c r="AS18" i="15"/>
  <c r="AR18" i="15"/>
  <c r="AQ18" i="15"/>
  <c r="AP18" i="15"/>
  <c r="AO18" i="15"/>
  <c r="AN18" i="15"/>
  <c r="AM18" i="15"/>
  <c r="AL18" i="15"/>
  <c r="AK18" i="15"/>
  <c r="AJ18" i="15"/>
  <c r="AI18" i="15"/>
  <c r="AH18"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C18" i="15"/>
  <c r="F8" i="15"/>
  <c r="B51" i="14"/>
  <c r="B40" i="14"/>
  <c r="B24" i="14"/>
  <c r="J40" i="14"/>
  <c r="K40" i="14"/>
  <c r="L40" i="14"/>
  <c r="M40" i="14"/>
  <c r="N40" i="14"/>
  <c r="O40" i="14"/>
  <c r="P40" i="14"/>
  <c r="Q40" i="14"/>
  <c r="R40" i="14"/>
  <c r="S40" i="14"/>
  <c r="T40" i="14"/>
  <c r="U40" i="14"/>
  <c r="V40" i="14"/>
  <c r="W40" i="14"/>
  <c r="X40" i="14"/>
  <c r="I40" i="14"/>
  <c r="J33" i="14"/>
  <c r="K33" i="14"/>
  <c r="L33" i="14"/>
  <c r="M33" i="14"/>
  <c r="N33" i="14"/>
  <c r="O33" i="14"/>
  <c r="P33" i="14"/>
  <c r="Q33" i="14"/>
  <c r="R33" i="14"/>
  <c r="S33" i="14"/>
  <c r="T33" i="14"/>
  <c r="U33" i="14"/>
  <c r="V33" i="14"/>
  <c r="W33" i="14"/>
  <c r="X33" i="14"/>
  <c r="I33" i="14"/>
  <c r="L11" i="14"/>
  <c r="H24" i="15" l="1"/>
  <c r="R24" i="15"/>
  <c r="Q24" i="15"/>
  <c r="P24" i="15"/>
  <c r="P25" i="15" s="1"/>
  <c r="V33" i="15"/>
  <c r="X24" i="15"/>
  <c r="L24" i="15"/>
  <c r="W24" i="15"/>
  <c r="W25" i="15" s="1"/>
  <c r="Q40" i="15"/>
  <c r="Q41" i="15" s="1"/>
  <c r="X40" i="15"/>
  <c r="X44" i="15" s="1"/>
  <c r="K25" i="15"/>
  <c r="K32" i="15" s="1"/>
  <c r="N40" i="15"/>
  <c r="N41" i="15" s="1"/>
  <c r="M25" i="15"/>
  <c r="M26" i="15" s="1"/>
  <c r="M28" i="15" s="1"/>
  <c r="M30" i="15" s="1"/>
  <c r="P40" i="15"/>
  <c r="P44" i="15" s="1"/>
  <c r="N24" i="15"/>
  <c r="N25" i="15" s="1"/>
  <c r="N26" i="15" s="1"/>
  <c r="R40" i="15"/>
  <c r="R44" i="15" s="1"/>
  <c r="J24" i="15"/>
  <c r="J25" i="15" s="1"/>
  <c r="J32" i="15" s="1"/>
  <c r="N39" i="15"/>
  <c r="L39" i="15"/>
  <c r="L40" i="15" s="1"/>
  <c r="V24" i="15"/>
  <c r="O39" i="15"/>
  <c r="O40" i="15" s="1"/>
  <c r="K40" i="15"/>
  <c r="K44" i="15" s="1"/>
  <c r="W40" i="15"/>
  <c r="W44" i="15" s="1"/>
  <c r="T24" i="15"/>
  <c r="T25" i="15" s="1"/>
  <c r="S40" i="15"/>
  <c r="S44" i="15" s="1"/>
  <c r="T40" i="15"/>
  <c r="T44" i="15" s="1"/>
  <c r="I40" i="15"/>
  <c r="I41" i="15" s="1"/>
  <c r="U40" i="15"/>
  <c r="U44" i="15" s="1"/>
  <c r="V40" i="15"/>
  <c r="V44" i="15" s="1"/>
  <c r="J40" i="15"/>
  <c r="J44" i="15" s="1"/>
  <c r="M40" i="15"/>
  <c r="H40" i="15"/>
  <c r="I25" i="15"/>
  <c r="I32" i="15" s="1"/>
  <c r="U25" i="15"/>
  <c r="U32" i="15" s="1"/>
  <c r="O25" i="15"/>
  <c r="O32" i="15" s="1"/>
  <c r="S25" i="15"/>
  <c r="S32" i="15" s="1"/>
  <c r="N33" i="15"/>
  <c r="Q25" i="15"/>
  <c r="Q32" i="15" s="1"/>
  <c r="L33" i="15"/>
  <c r="T33" i="15"/>
  <c r="J33" i="15"/>
  <c r="R33" i="15"/>
  <c r="Q33" i="15"/>
  <c r="L25" i="15"/>
  <c r="L26" i="15" s="1"/>
  <c r="L28" i="15" s="1"/>
  <c r="L30" i="15" s="1"/>
  <c r="V25" i="15"/>
  <c r="V26" i="15" s="1"/>
  <c r="V28" i="15" s="1"/>
  <c r="V30" i="15" s="1"/>
  <c r="I27" i="15"/>
  <c r="I29" i="15" s="1"/>
  <c r="I33" i="15" s="1"/>
  <c r="R25" i="15"/>
  <c r="R32" i="15" s="1"/>
  <c r="S27" i="15"/>
  <c r="S29" i="15" s="1"/>
  <c r="S33" i="15" s="1"/>
  <c r="W33" i="15"/>
  <c r="P33" i="15"/>
  <c r="X33" i="15"/>
  <c r="K27" i="15"/>
  <c r="K29" i="15" s="1"/>
  <c r="K33" i="15" s="1"/>
  <c r="H33" i="15"/>
  <c r="V41" i="15"/>
  <c r="U41" i="15"/>
  <c r="H44" i="15"/>
  <c r="H41" i="15"/>
  <c r="M41" i="15"/>
  <c r="M44" i="15"/>
  <c r="Q44" i="15"/>
  <c r="H25" i="15"/>
  <c r="X25" i="15"/>
  <c r="M27" i="15"/>
  <c r="M29" i="15" s="1"/>
  <c r="M33" i="15" s="1"/>
  <c r="U27" i="15"/>
  <c r="U29" i="15" s="1"/>
  <c r="U33" i="15" s="1"/>
  <c r="O27" i="15"/>
  <c r="O29" i="15" s="1"/>
  <c r="O33" i="15" s="1"/>
  <c r="F7" i="14"/>
  <c r="N44" i="15" l="1"/>
  <c r="M42" i="15"/>
  <c r="M43" i="15" s="1"/>
  <c r="K26" i="15"/>
  <c r="K28" i="15" s="1"/>
  <c r="K30" i="15" s="1"/>
  <c r="K34" i="15" s="1"/>
  <c r="I26" i="15"/>
  <c r="I28" i="15" s="1"/>
  <c r="I30" i="15" s="1"/>
  <c r="S41" i="15"/>
  <c r="S42" i="15" s="1"/>
  <c r="S43" i="15" s="1"/>
  <c r="S45" i="15" s="1"/>
  <c r="X41" i="15"/>
  <c r="X42" i="15" s="1"/>
  <c r="X43" i="15" s="1"/>
  <c r="X45" i="15" s="1"/>
  <c r="K41" i="15"/>
  <c r="K42" i="15" s="1"/>
  <c r="K43" i="15" s="1"/>
  <c r="K45" i="15" s="1"/>
  <c r="M32" i="15"/>
  <c r="M34" i="15" s="1"/>
  <c r="I42" i="15"/>
  <c r="I43" i="15" s="1"/>
  <c r="I45" i="15" s="1"/>
  <c r="R41" i="15"/>
  <c r="R42" i="15" s="1"/>
  <c r="R43" i="15" s="1"/>
  <c r="R45" i="15" s="1"/>
  <c r="O44" i="15"/>
  <c r="O41" i="15"/>
  <c r="O42" i="15" s="1"/>
  <c r="O43" i="15" s="1"/>
  <c r="L44" i="15"/>
  <c r="L41" i="15"/>
  <c r="I44" i="15"/>
  <c r="T41" i="15"/>
  <c r="O26" i="15"/>
  <c r="O28" i="15" s="1"/>
  <c r="O30" i="15" s="1"/>
  <c r="O34" i="15" s="1"/>
  <c r="U26" i="15"/>
  <c r="U28" i="15" s="1"/>
  <c r="U30" i="15" s="1"/>
  <c r="U34" i="15" s="1"/>
  <c r="P41" i="15"/>
  <c r="P42" i="15" s="1"/>
  <c r="P43" i="15" s="1"/>
  <c r="P45" i="15" s="1"/>
  <c r="W41" i="15"/>
  <c r="W42" i="15" s="1"/>
  <c r="W43" i="15" s="1"/>
  <c r="W45" i="15" s="1"/>
  <c r="S26" i="15"/>
  <c r="S28" i="15" s="1"/>
  <c r="S30" i="15" s="1"/>
  <c r="S34" i="15" s="1"/>
  <c r="J41" i="15"/>
  <c r="J42" i="15" s="1"/>
  <c r="J43" i="15" s="1"/>
  <c r="J45" i="15" s="1"/>
  <c r="U42" i="15"/>
  <c r="U43" i="15" s="1"/>
  <c r="U45" i="15" s="1"/>
  <c r="L32" i="15"/>
  <c r="L34" i="15" s="1"/>
  <c r="Q42" i="15"/>
  <c r="Q43" i="15" s="1"/>
  <c r="Q45" i="15" s="1"/>
  <c r="Q26" i="15"/>
  <c r="Q28" i="15" s="1"/>
  <c r="Q30" i="15" s="1"/>
  <c r="Q34" i="15" s="1"/>
  <c r="V32" i="15"/>
  <c r="V34" i="15" s="1"/>
  <c r="L42" i="15"/>
  <c r="L43" i="15" s="1"/>
  <c r="V42" i="15"/>
  <c r="V43" i="15" s="1"/>
  <c r="V45" i="15" s="1"/>
  <c r="T42" i="15"/>
  <c r="T43" i="15" s="1"/>
  <c r="T45" i="15" s="1"/>
  <c r="N28" i="15"/>
  <c r="N30" i="15" s="1"/>
  <c r="M45" i="15"/>
  <c r="N32" i="15"/>
  <c r="R26" i="15"/>
  <c r="R28" i="15" s="1"/>
  <c r="R30" i="15" s="1"/>
  <c r="R34" i="15" s="1"/>
  <c r="J26" i="15"/>
  <c r="J28" i="15" s="1"/>
  <c r="J30" i="15" s="1"/>
  <c r="J34" i="15" s="1"/>
  <c r="T26" i="15"/>
  <c r="T28" i="15" s="1"/>
  <c r="T30" i="15" s="1"/>
  <c r="T32" i="15"/>
  <c r="N42" i="15"/>
  <c r="N43" i="15" s="1"/>
  <c r="N45" i="15" s="1"/>
  <c r="W26" i="15"/>
  <c r="W28" i="15" s="1"/>
  <c r="W30" i="15" s="1"/>
  <c r="W32" i="15"/>
  <c r="H26" i="15"/>
  <c r="H28" i="15" s="1"/>
  <c r="H30" i="15" s="1"/>
  <c r="H42" i="15"/>
  <c r="H43" i="15" s="1"/>
  <c r="H45" i="15" s="1"/>
  <c r="H32" i="15"/>
  <c r="P26" i="15"/>
  <c r="P28" i="15" s="1"/>
  <c r="P30" i="15" s="1"/>
  <c r="P32" i="15"/>
  <c r="I34" i="15"/>
  <c r="X26" i="15"/>
  <c r="X28" i="15" s="1"/>
  <c r="X30" i="15" s="1"/>
  <c r="X32" i="15"/>
  <c r="O45" i="15" l="1"/>
  <c r="L45" i="15"/>
  <c r="N34" i="15"/>
  <c r="T34" i="15"/>
  <c r="H34" i="15"/>
  <c r="P34" i="15"/>
  <c r="W34" i="15"/>
  <c r="X34" i="15"/>
  <c r="Q25" i="14"/>
  <c r="I25" i="14"/>
  <c r="P25" i="14"/>
  <c r="J25" i="14"/>
  <c r="R25" i="14"/>
  <c r="X25" i="14"/>
  <c r="K25" i="14"/>
  <c r="S25" i="14"/>
  <c r="U25" i="14"/>
  <c r="L25" i="14"/>
  <c r="T25" i="14"/>
  <c r="M25" i="14"/>
  <c r="N25" i="14"/>
  <c r="V25" i="14"/>
  <c r="O25" i="14"/>
  <c r="W25" i="14"/>
  <c r="S29" i="14" l="1"/>
  <c r="S31" i="14" s="1"/>
  <c r="X29" i="14"/>
  <c r="X31" i="14" s="1"/>
  <c r="N29" i="14"/>
  <c r="N31" i="14" s="1"/>
  <c r="R29" i="14"/>
  <c r="R31" i="14" s="1"/>
  <c r="W29" i="14"/>
  <c r="W31" i="14" s="1"/>
  <c r="K29" i="14"/>
  <c r="K31" i="14" s="1"/>
  <c r="M29" i="14"/>
  <c r="M31" i="14" s="1"/>
  <c r="J29" i="14"/>
  <c r="J31" i="14" s="1"/>
  <c r="O29" i="14"/>
  <c r="O31" i="14" s="1"/>
  <c r="V29" i="14"/>
  <c r="V31" i="14" s="1"/>
  <c r="T29" i="14"/>
  <c r="T31" i="14" s="1"/>
  <c r="P29" i="14"/>
  <c r="P31" i="14" s="1"/>
  <c r="L29" i="14"/>
  <c r="L31" i="14" s="1"/>
  <c r="I29" i="14"/>
  <c r="I31" i="14" s="1"/>
  <c r="U29" i="14"/>
  <c r="U31" i="14" s="1"/>
  <c r="Q29" i="14"/>
  <c r="Q31" i="14" s="1"/>
  <c r="EG20" i="14"/>
  <c r="D20" i="14"/>
  <c r="E20" i="14"/>
  <c r="F20" i="14"/>
  <c r="G20" i="14"/>
  <c r="H20" i="14"/>
  <c r="I20" i="14"/>
  <c r="J20" i="14"/>
  <c r="K20" i="14"/>
  <c r="L20" i="14"/>
  <c r="M20" i="14"/>
  <c r="N20" i="14"/>
  <c r="O20" i="14"/>
  <c r="P20" i="14"/>
  <c r="Q20" i="14"/>
  <c r="R20" i="14"/>
  <c r="S20" i="14"/>
  <c r="T20" i="14"/>
  <c r="U20" i="14"/>
  <c r="V20" i="14"/>
  <c r="W20" i="14"/>
  <c r="X20" i="14"/>
  <c r="Y20" i="14"/>
  <c r="Z20" i="14"/>
  <c r="AA20" i="14"/>
  <c r="AB20" i="14"/>
  <c r="AC20" i="14"/>
  <c r="AD20" i="14"/>
  <c r="AE20" i="14"/>
  <c r="AF20" i="14"/>
  <c r="AG20" i="14"/>
  <c r="AH20" i="14"/>
  <c r="AI20" i="14"/>
  <c r="AJ20" i="14"/>
  <c r="AK20" i="14"/>
  <c r="AL20" i="14"/>
  <c r="AM20" i="14"/>
  <c r="AN20" i="14"/>
  <c r="AO20" i="14"/>
  <c r="AP20" i="14"/>
  <c r="AQ20" i="14"/>
  <c r="AR20" i="14"/>
  <c r="AS20" i="14"/>
  <c r="AT20" i="14"/>
  <c r="AU20" i="14"/>
  <c r="AV20" i="14"/>
  <c r="AW20" i="14"/>
  <c r="AX20" i="14"/>
  <c r="AY20" i="14"/>
  <c r="AZ20" i="14"/>
  <c r="BA20" i="14"/>
  <c r="BB20" i="14"/>
  <c r="BC20" i="14"/>
  <c r="BD20" i="14"/>
  <c r="BE20" i="14"/>
  <c r="BF20" i="14"/>
  <c r="BG20" i="14"/>
  <c r="BH20" i="14"/>
  <c r="BI20" i="14"/>
  <c r="BJ20" i="14"/>
  <c r="BK20" i="14"/>
  <c r="BL20" i="14"/>
  <c r="BM20" i="14"/>
  <c r="BN20" i="14"/>
  <c r="BO20" i="14"/>
  <c r="BP20" i="14"/>
  <c r="BQ20" i="14"/>
  <c r="BR20" i="14"/>
  <c r="BS20" i="14"/>
  <c r="BT20" i="14"/>
  <c r="BU20" i="14"/>
  <c r="BV20" i="14"/>
  <c r="BW20" i="14"/>
  <c r="BX20" i="14"/>
  <c r="BY20" i="14"/>
  <c r="BZ20" i="14"/>
  <c r="CA20" i="14"/>
  <c r="CB20" i="14"/>
  <c r="CC20" i="14"/>
  <c r="CD20" i="14"/>
  <c r="CE20" i="14"/>
  <c r="CF20" i="14"/>
  <c r="CG20" i="14"/>
  <c r="CH20" i="14"/>
  <c r="CI20" i="14"/>
  <c r="CJ20" i="14"/>
  <c r="CK20" i="14"/>
  <c r="CL20" i="14"/>
  <c r="CM20" i="14"/>
  <c r="CN20" i="14"/>
  <c r="CO20" i="14"/>
  <c r="CP20" i="14"/>
  <c r="CQ20" i="14"/>
  <c r="CR20" i="14"/>
  <c r="CS20" i="14"/>
  <c r="CT20" i="14"/>
  <c r="CU20" i="14"/>
  <c r="CV20" i="14"/>
  <c r="CW20" i="14"/>
  <c r="CX20" i="14"/>
  <c r="CY20" i="14"/>
  <c r="CZ20" i="14"/>
  <c r="DA20" i="14"/>
  <c r="DB20" i="14"/>
  <c r="DC20" i="14"/>
  <c r="DD20" i="14"/>
  <c r="DE20" i="14"/>
  <c r="DF20" i="14"/>
  <c r="DG20" i="14"/>
  <c r="DH20" i="14"/>
  <c r="DI20" i="14"/>
  <c r="DJ20" i="14"/>
  <c r="DK20" i="14"/>
  <c r="DL20" i="14"/>
  <c r="DM20" i="14"/>
  <c r="DN20" i="14"/>
  <c r="DO20" i="14"/>
  <c r="DP20" i="14"/>
  <c r="DQ20" i="14"/>
  <c r="DR20" i="14"/>
  <c r="DS20" i="14"/>
  <c r="DT20" i="14"/>
  <c r="DU20" i="14"/>
  <c r="DV20" i="14"/>
  <c r="DW20" i="14"/>
  <c r="DX20" i="14"/>
  <c r="DY20" i="14"/>
  <c r="DZ20" i="14"/>
  <c r="EA20" i="14"/>
  <c r="EB20" i="14"/>
  <c r="EC20" i="14"/>
  <c r="ED20" i="14"/>
  <c r="EE20" i="14"/>
  <c r="EF20" i="14"/>
  <c r="C20" i="14"/>
  <c r="Q42" i="14" l="1"/>
  <c r="Q46" i="14" s="1"/>
  <c r="Q27" i="14"/>
  <c r="J42" i="14"/>
  <c r="J43" i="14" s="1"/>
  <c r="J27" i="14"/>
  <c r="U42" i="14"/>
  <c r="U46" i="14" s="1"/>
  <c r="U27" i="14"/>
  <c r="T42" i="14"/>
  <c r="T43" i="14" s="1"/>
  <c r="T27" i="14"/>
  <c r="M42" i="14"/>
  <c r="M43" i="14" s="1"/>
  <c r="M27" i="14"/>
  <c r="N42" i="14"/>
  <c r="N46" i="14" s="1"/>
  <c r="N27" i="14"/>
  <c r="P42" i="14"/>
  <c r="P43" i="14" s="1"/>
  <c r="P27" i="14"/>
  <c r="R42" i="14"/>
  <c r="R43" i="14" s="1"/>
  <c r="R27" i="14"/>
  <c r="I42" i="14"/>
  <c r="I43" i="14" s="1"/>
  <c r="I27" i="14"/>
  <c r="V42" i="14"/>
  <c r="V43" i="14" s="1"/>
  <c r="V27" i="14"/>
  <c r="K42" i="14"/>
  <c r="K43" i="14" s="1"/>
  <c r="K27" i="14"/>
  <c r="X42" i="14"/>
  <c r="X43" i="14" s="1"/>
  <c r="X27" i="14"/>
  <c r="L42" i="14"/>
  <c r="L43" i="14" s="1"/>
  <c r="L27" i="14"/>
  <c r="O42" i="14"/>
  <c r="O43" i="14" s="1"/>
  <c r="O27" i="14"/>
  <c r="W42" i="14"/>
  <c r="W46" i="14" s="1"/>
  <c r="W27" i="14"/>
  <c r="S42" i="14"/>
  <c r="S43" i="14" s="1"/>
  <c r="S27" i="14"/>
  <c r="J46" i="14"/>
  <c r="V35" i="14"/>
  <c r="U35" i="14"/>
  <c r="K35" i="14"/>
  <c r="R35" i="14"/>
  <c r="J35" i="14"/>
  <c r="Q35" i="14"/>
  <c r="T35" i="14"/>
  <c r="W35" i="14"/>
  <c r="O35" i="14"/>
  <c r="N35" i="14"/>
  <c r="P35" i="14"/>
  <c r="M35" i="14"/>
  <c r="S35" i="14"/>
  <c r="X35" i="14"/>
  <c r="L35" i="14"/>
  <c r="I35" i="14"/>
  <c r="O46" i="14" l="1"/>
  <c r="V46" i="14"/>
  <c r="N43" i="14"/>
  <c r="T46" i="14"/>
  <c r="S46" i="14"/>
  <c r="W43" i="14"/>
  <c r="U43" i="14"/>
  <c r="K46" i="14"/>
  <c r="R46" i="14"/>
  <c r="Q43" i="14"/>
  <c r="L46" i="14"/>
  <c r="X46" i="14"/>
  <c r="I46" i="14"/>
  <c r="M46" i="14"/>
  <c r="P46" i="14"/>
  <c r="I34" i="14"/>
  <c r="U34" i="14"/>
  <c r="M34" i="14"/>
  <c r="S34" i="14"/>
  <c r="J34" i="14"/>
  <c r="T34" i="14"/>
  <c r="Q34" i="14"/>
  <c r="V34" i="14"/>
  <c r="R34" i="14"/>
  <c r="X34" i="14"/>
  <c r="W34" i="14"/>
  <c r="N34" i="14"/>
  <c r="O34" i="14"/>
  <c r="K34" i="14"/>
  <c r="P34" i="14"/>
  <c r="L34" i="14"/>
  <c r="T28" i="14" l="1"/>
  <c r="L28" i="14"/>
  <c r="W28" i="14"/>
  <c r="S28" i="14"/>
  <c r="N28" i="14"/>
  <c r="M28" i="14"/>
  <c r="Q28" i="14"/>
  <c r="V28" i="14"/>
  <c r="P28" i="14"/>
  <c r="X28" i="14"/>
  <c r="J28" i="14"/>
  <c r="J30" i="14" s="1"/>
  <c r="J32" i="14" s="1"/>
  <c r="K28" i="14"/>
  <c r="K30" i="14" s="1"/>
  <c r="K32" i="14" s="1"/>
  <c r="O28" i="14"/>
  <c r="O30" i="14" s="1"/>
  <c r="O32" i="14" s="1"/>
  <c r="S30" i="14" l="1"/>
  <c r="K44" i="14"/>
  <c r="W44" i="14"/>
  <c r="P44" i="14"/>
  <c r="V30" i="14"/>
  <c r="Q44" i="14"/>
  <c r="Q30" i="14"/>
  <c r="W30" i="14"/>
  <c r="V44" i="14"/>
  <c r="O44" i="14"/>
  <c r="M30" i="14"/>
  <c r="T30" i="14"/>
  <c r="S44" i="14"/>
  <c r="X44" i="14"/>
  <c r="N44" i="14"/>
  <c r="P30" i="14"/>
  <c r="J44" i="14"/>
  <c r="M44" i="14"/>
  <c r="X30" i="14"/>
  <c r="T44" i="14"/>
  <c r="N30" i="14"/>
  <c r="L30" i="14"/>
  <c r="U28" i="14"/>
  <c r="R28" i="14"/>
  <c r="O36" i="14"/>
  <c r="K36" i="14"/>
  <c r="J36" i="14"/>
  <c r="O45" i="14" l="1"/>
  <c r="O47" i="14" s="1"/>
  <c r="K45" i="14"/>
  <c r="K47" i="14" s="1"/>
  <c r="V45" i="14"/>
  <c r="V47" i="14" s="1"/>
  <c r="S32" i="14"/>
  <c r="S36" i="14" s="1"/>
  <c r="P32" i="14"/>
  <c r="P36" i="14" s="1"/>
  <c r="W32" i="14"/>
  <c r="W36" i="14" s="1"/>
  <c r="Q32" i="14"/>
  <c r="Q36" i="14" s="1"/>
  <c r="X45" i="14"/>
  <c r="X47" i="14" s="1"/>
  <c r="S45" i="14"/>
  <c r="S47" i="14" s="1"/>
  <c r="T45" i="14"/>
  <c r="T47" i="14" s="1"/>
  <c r="T32" i="14"/>
  <c r="T36" i="14" s="1"/>
  <c r="P45" i="14"/>
  <c r="P47" i="14" s="1"/>
  <c r="M45" i="14"/>
  <c r="M47" i="14" s="1"/>
  <c r="N45" i="14"/>
  <c r="N47" i="14" s="1"/>
  <c r="L32" i="14"/>
  <c r="L36" i="14" s="1"/>
  <c r="Q45" i="14"/>
  <c r="Q47" i="14" s="1"/>
  <c r="N32" i="14"/>
  <c r="N36" i="14" s="1"/>
  <c r="V32" i="14"/>
  <c r="V36" i="14" s="1"/>
  <c r="X32" i="14"/>
  <c r="X36" i="14" s="1"/>
  <c r="M32" i="14"/>
  <c r="M36" i="14" s="1"/>
  <c r="W45" i="14"/>
  <c r="W47" i="14" s="1"/>
  <c r="J45" i="14"/>
  <c r="J47" i="14" s="1"/>
  <c r="R30" i="14"/>
  <c r="R44" i="14"/>
  <c r="L44" i="14"/>
  <c r="U44" i="14"/>
  <c r="U30" i="14"/>
  <c r="U45" i="14" l="1"/>
  <c r="U47" i="14" s="1"/>
  <c r="U32" i="14"/>
  <c r="U36" i="14" s="1"/>
  <c r="L45" i="14"/>
  <c r="L47" i="14" s="1"/>
  <c r="R32" i="14"/>
  <c r="R36" i="14" s="1"/>
  <c r="R45" i="14"/>
  <c r="R47" i="14" s="1"/>
  <c r="I28" i="14"/>
  <c r="I30" i="14" s="1"/>
  <c r="I32" i="14" s="1"/>
  <c r="I44" i="14" l="1"/>
  <c r="I36" i="14"/>
  <c r="I45" i="14" l="1"/>
  <c r="I47" i="14" s="1"/>
</calcChain>
</file>

<file path=xl/sharedStrings.xml><?xml version="1.0" encoding="utf-8"?>
<sst xmlns="http://schemas.openxmlformats.org/spreadsheetml/2006/main" count="170" uniqueCount="90">
  <si>
    <t>Ic</t>
  </si>
  <si>
    <t>B0</t>
  </si>
  <si>
    <t>n</t>
  </si>
  <si>
    <t>I/Ic</t>
  </si>
  <si>
    <t>I</t>
  </si>
  <si>
    <t>F</t>
  </si>
  <si>
    <t>L1</t>
  </si>
  <si>
    <t>Im</t>
  </si>
  <si>
    <t>Ext-Norris</t>
  </si>
  <si>
    <t>FEA-int(EJ)</t>
  </si>
  <si>
    <t>Physt</t>
  </si>
  <si>
    <t>PEJ</t>
  </si>
  <si>
    <t>Ptotal</t>
  </si>
  <si>
    <t>P [W/m]</t>
  </si>
  <si>
    <t>m</t>
  </si>
  <si>
    <t>f [Hz]</t>
  </si>
  <si>
    <t>Ext-Norris_thin</t>
  </si>
  <si>
    <t>a=</t>
  </si>
  <si>
    <t>b=</t>
  </si>
  <si>
    <t>S=</t>
  </si>
  <si>
    <t>m^2</t>
  </si>
  <si>
    <t>P_EJ</t>
  </si>
  <si>
    <t>P_EJ(B)</t>
  </si>
  <si>
    <t>Ic(B)</t>
  </si>
  <si>
    <t>Ic0</t>
  </si>
  <si>
    <t>A</t>
  </si>
  <si>
    <t>E [J/cycle/m]</t>
  </si>
  <si>
    <t>A/m2</t>
  </si>
  <si>
    <t>T</t>
  </si>
  <si>
    <t>L1(B)</t>
  </si>
  <si>
    <t>Physt(B)</t>
  </si>
  <si>
    <t>F(B)</t>
  </si>
  <si>
    <t>Phys(B)+PEJ(B)</t>
  </si>
  <si>
    <t>Physt+PEJ</t>
  </si>
  <si>
    <t>Bav</t>
  </si>
  <si>
    <t>I [amplitude]</t>
  </si>
  <si>
    <t>h_tape</t>
  </si>
  <si>
    <t>w_tape</t>
  </si>
  <si>
    <t>PEJ(B)</t>
  </si>
  <si>
    <t>Ptotal(B)</t>
  </si>
  <si>
    <t>Sigmoide(B)</t>
  </si>
  <si>
    <t>Physt_sig(B)</t>
  </si>
  <si>
    <t>Physt_sig(B)+PEJ(B)</t>
  </si>
  <si>
    <t>Bav (estimation)</t>
  </si>
  <si>
    <t>k=</t>
  </si>
  <si>
    <t>Experimental results</t>
  </si>
  <si>
    <t>Elliptical HTS tape data:</t>
  </si>
  <si>
    <t>Sigmoid</t>
  </si>
  <si>
    <t>Ic0=</t>
  </si>
  <si>
    <t>Jc0=</t>
  </si>
  <si>
    <t>B0=</t>
  </si>
  <si>
    <t>HTS major semi-axis</t>
  </si>
  <si>
    <t>HTS mino semi-axis</t>
  </si>
  <si>
    <t>HTS cross-section</t>
  </si>
  <si>
    <t>k=b/a</t>
  </si>
  <si>
    <t>Finite Element Simulation</t>
  </si>
  <si>
    <t>Analytical models: Extended-Norris and Sigmoidal model</t>
  </si>
  <si>
    <t>Model</t>
  </si>
  <si>
    <t>a</t>
  </si>
  <si>
    <t>c</t>
  </si>
  <si>
    <t>b</t>
  </si>
  <si>
    <t>Parameters</t>
  </si>
  <si>
    <t>FEA_KIM</t>
  </si>
  <si>
    <t>Experimental results, f=50Hz</t>
  </si>
  <si>
    <t>Electric frequency</t>
  </si>
  <si>
    <t>f=</t>
  </si>
  <si>
    <t>Hz</t>
  </si>
  <si>
    <t>yellow cells is where you change the parameters of the models</t>
  </si>
  <si>
    <t>Tape datasheet (manufacturer)</t>
  </si>
  <si>
    <t>155-175</t>
  </si>
  <si>
    <t>final result</t>
  </si>
  <si>
    <t>Bapp</t>
  </si>
  <si>
    <t>mT</t>
  </si>
  <si>
    <t>Critical current at no-field</t>
  </si>
  <si>
    <t>Tape height</t>
  </si>
  <si>
    <t>Tape width</t>
  </si>
  <si>
    <t>Critical current density at no-field</t>
  </si>
  <si>
    <t>Jc_no_field</t>
  </si>
  <si>
    <t>B0 coefficient of Kim law</t>
  </si>
  <si>
    <t>Ic0 (no-field)</t>
  </si>
  <si>
    <t>Ic0 (range)</t>
  </si>
  <si>
    <t>Applied DC magnetic flux density (amplitude)</t>
  </si>
  <si>
    <t xml:space="preserve">This work proposes two alternative analytical models to evaluate the ac losses of High-Temperature Superconducting (HTS) tapes during their hysteretic and resistive modes. These models intend to extend the application range of state-of-the-art analytical models for current values higher than the critical one, i.e., for the resistive state, and to correctly predict the ac losses during the transition between the hysteretic and resistive modes. Two analytical models are proposed, one considering an extension of the Norris model for the HTS tape’s resistive mode and the other based on a Sigmoid function to characterize the hysteretic losses and their smooth transition to the resistive mode. Analytical models capable of estimating ac losses of superconducting (SC) tapes are an important tool for the design of complex SC systems, such as SC fault current limiters, SC electrical machines and SC cables. The proposed models are validated experimentally, for a 1st generation BSCCO tape and a 2nd generation ReBCO tape. Finite element simulation is also carried out to verify the accuracy of the proposed models. Results show that the proposed Extended-Norris model presents some deviation at the transition between the hysteretic and resistive modes, while the Sigmoid model presents very accurate results for the whole spectrum of applied current. Also, the parameters of the Sigmoid models are independent of the tape geometry. </t>
  </si>
  <si>
    <t>Abstract:</t>
  </si>
  <si>
    <t>It is intended to help electromechanical systems designers to estimate the losses of HTS tapes during the design stage.</t>
  </si>
  <si>
    <t xml:space="preserve">It considers the influence of applied current density, under a DC magnetic field, to estimate the Power-Current curve of 1st and 2nd generation HTS tapes. The models presented are the extended-Norris and Sigmoid models. These were validated experimentally for 1st and 2nd generation tapes, for a wide range of applied currents. </t>
  </si>
  <si>
    <t>In each page, please adapt the yellow cells with your data to estimate the HTS losses. All current values should be provided in amplitude (not rms).</t>
  </si>
  <si>
    <r>
      <rPr>
        <sz val="11"/>
        <color theme="1"/>
        <rFont val="Times New Roman"/>
        <family val="1"/>
      </rPr>
      <t xml:space="preserve">[A] </t>
    </r>
    <r>
      <rPr>
        <i/>
        <sz val="11"/>
        <color theme="1"/>
        <rFont val="Times New Roman"/>
        <family val="1"/>
      </rPr>
      <t>João F. P. Fernandes, Luís F. D. Bucho, F. Ferreira da Silva, Inês S. P. Peixoto, Silvio Vaschetto and P. J. Costa Branco, "Alternative Analytical Models for HTS Tapes Considering their AC Hysteretic and Resistive Losses", Superconductor Science and Technology, 2023.</t>
    </r>
  </si>
  <si>
    <t>NC License: Licensees may copy, distribute, display, perform the work and make derivative works and remixes based on it only for non-commercial purposes. Also, cite the above reference [A] when making derivative works.</t>
  </si>
  <si>
    <t>This file presents two HTS analytical models published in (see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</si>
</sst>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0.00000E+00"/>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b/>
      <u/>
      <sz val="11"/>
      <color theme="1"/>
      <name val="Calibri"/>
      <family val="2"/>
      <scheme val="minor"/>
    </font>
    <font>
      <sz val="12"/>
      <color theme="1"/>
      <name val="Calibri"/>
      <family val="2"/>
      <scheme val="minor"/>
    </font>
    <font>
      <sz val="11"/>
      <color theme="1"/>
      <name val="Calibri"/>
      <family val="2"/>
      <scheme val="minor"/>
    </font>
    <font>
      <i/>
      <sz val="11"/>
      <color theme="1"/>
      <name val="Calibri"/>
      <family val="2"/>
      <scheme val="minor"/>
    </font>
    <font>
      <sz val="11"/>
      <color theme="1"/>
      <name val="Times New Roman"/>
      <family val="1"/>
    </font>
    <font>
      <i/>
      <sz val="11"/>
      <color theme="1"/>
      <name val="Times New Roman"/>
      <family val="1"/>
    </font>
    <font>
      <sz val="11"/>
      <color rgb="FF0000FF"/>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6" fillId="0" borderId="0" applyFont="0" applyFill="0" applyBorder="0" applyAlignment="0" applyProtection="0"/>
  </cellStyleXfs>
  <cellXfs count="96">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xf>
    <xf numFmtId="0" fontId="0" fillId="0" borderId="3" xfId="0" applyBorder="1" applyAlignment="1">
      <alignment horizontal="center"/>
    </xf>
    <xf numFmtId="0" fontId="0" fillId="0" borderId="1" xfId="0" applyBorder="1"/>
    <xf numFmtId="11" fontId="0" fillId="0" borderId="0" xfId="0" applyNumberFormat="1"/>
    <xf numFmtId="0" fontId="1" fillId="0" borderId="0" xfId="0" applyFont="1" applyAlignment="1">
      <alignment horizontal="center"/>
    </xf>
    <xf numFmtId="0" fontId="2" fillId="2" borderId="1" xfId="0" applyFont="1" applyFill="1" applyBorder="1" applyAlignment="1">
      <alignment horizontal="center"/>
    </xf>
    <xf numFmtId="11" fontId="0" fillId="0" borderId="1" xfId="0" applyNumberFormat="1" applyBorder="1"/>
    <xf numFmtId="0" fontId="0" fillId="0" borderId="0" xfId="0"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0" borderId="5" xfId="0" applyBorder="1" applyAlignment="1">
      <alignment horizontal="center"/>
    </xf>
    <xf numFmtId="0" fontId="1" fillId="3" borderId="1" xfId="0" applyFont="1" applyFill="1" applyBorder="1" applyAlignment="1">
      <alignment horizontal="center"/>
    </xf>
    <xf numFmtId="0" fontId="0" fillId="3" borderId="1" xfId="0" applyFill="1" applyBorder="1" applyAlignment="1">
      <alignment horizontal="center"/>
    </xf>
    <xf numFmtId="0" fontId="0" fillId="3" borderId="0" xfId="0" applyFill="1"/>
    <xf numFmtId="11" fontId="0" fillId="3" borderId="1" xfId="0" applyNumberFormat="1" applyFill="1" applyBorder="1" applyAlignment="1">
      <alignment horizontal="center"/>
    </xf>
    <xf numFmtId="0" fontId="0" fillId="3" borderId="1" xfId="0" applyFill="1" applyBorder="1"/>
    <xf numFmtId="0" fontId="0" fillId="0" borderId="0" xfId="0" applyAlignment="1">
      <alignment vertical="center"/>
    </xf>
    <xf numFmtId="1" fontId="0" fillId="0" borderId="0" xfId="0" applyNumberFormat="1" applyAlignment="1">
      <alignment horizontal="center" vertical="center"/>
    </xf>
    <xf numFmtId="0" fontId="3" fillId="0" borderId="0" xfId="0" applyFont="1"/>
    <xf numFmtId="164" fontId="0" fillId="0" borderId="1" xfId="0" applyNumberFormat="1" applyBorder="1" applyAlignment="1">
      <alignment horizontal="center"/>
    </xf>
    <xf numFmtId="11"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5" borderId="0" xfId="0" applyFill="1"/>
    <xf numFmtId="11" fontId="0" fillId="5" borderId="1" xfId="0" applyNumberFormat="1" applyFill="1" applyBorder="1"/>
    <xf numFmtId="0" fontId="0" fillId="5" borderId="1" xfId="0" applyFill="1" applyBorder="1"/>
    <xf numFmtId="11" fontId="0" fillId="3" borderId="1" xfId="0" applyNumberFormat="1" applyFill="1" applyBorder="1"/>
    <xf numFmtId="0" fontId="0" fillId="0" borderId="0" xfId="0" applyAlignment="1">
      <alignment horizontal="left"/>
    </xf>
    <xf numFmtId="0" fontId="5" fillId="0" borderId="1" xfId="0" applyFont="1" applyBorder="1"/>
    <xf numFmtId="0" fontId="5" fillId="0" borderId="1" xfId="0" applyFont="1" applyBorder="1" applyAlignment="1">
      <alignment horizontal="left"/>
    </xf>
    <xf numFmtId="0" fontId="2" fillId="0" borderId="0" xfId="0" applyFont="1" applyAlignment="1">
      <alignment horizontal="left"/>
    </xf>
    <xf numFmtId="165" fontId="0" fillId="0" borderId="0" xfId="0" applyNumberFormat="1"/>
    <xf numFmtId="0" fontId="4" fillId="0" borderId="8" xfId="0" applyFont="1" applyBorder="1"/>
    <xf numFmtId="0" fontId="0" fillId="0" borderId="0" xfId="0" applyAlignment="1">
      <alignment horizontal="center" vertical="center" wrapText="1"/>
    </xf>
    <xf numFmtId="0" fontId="0" fillId="7" borderId="1" xfId="0" applyFill="1" applyBorder="1" applyAlignment="1">
      <alignment horizontal="center"/>
    </xf>
    <xf numFmtId="0" fontId="0" fillId="7" borderId="1" xfId="0" applyFill="1" applyBorder="1"/>
    <xf numFmtId="11" fontId="5" fillId="7" borderId="1" xfId="0" applyNumberFormat="1" applyFont="1" applyFill="1" applyBorder="1"/>
    <xf numFmtId="164" fontId="5" fillId="7" borderId="1" xfId="0" applyNumberFormat="1" applyFont="1" applyFill="1" applyBorder="1"/>
    <xf numFmtId="2" fontId="5" fillId="7" borderId="1" xfId="0" applyNumberFormat="1" applyFont="1" applyFill="1" applyBorder="1"/>
    <xf numFmtId="11" fontId="0" fillId="7" borderId="1" xfId="0" applyNumberFormat="1" applyFill="1" applyBorder="1"/>
    <xf numFmtId="0" fontId="1" fillId="3" borderId="1" xfId="0" applyFont="1" applyFill="1" applyBorder="1" applyAlignment="1">
      <alignment horizontal="right"/>
    </xf>
    <xf numFmtId="0" fontId="1" fillId="3" borderId="1" xfId="0" applyFont="1" applyFill="1" applyBorder="1" applyAlignment="1">
      <alignment horizontal="left"/>
    </xf>
    <xf numFmtId="0" fontId="0" fillId="0" borderId="0" xfId="0" applyAlignment="1">
      <alignment horizontal="right"/>
    </xf>
    <xf numFmtId="0" fontId="0" fillId="0" borderId="1" xfId="0" applyBorder="1" applyAlignment="1">
      <alignment horizontal="right"/>
    </xf>
    <xf numFmtId="0" fontId="5" fillId="0" borderId="0" xfId="0" applyFont="1" applyAlignment="1">
      <alignment horizontal="left"/>
    </xf>
    <xf numFmtId="0" fontId="5" fillId="0" borderId="0" xfId="0" applyFont="1"/>
    <xf numFmtId="11" fontId="5" fillId="0" borderId="1" xfId="0" applyNumberFormat="1" applyFont="1" applyBorder="1"/>
    <xf numFmtId="0" fontId="5" fillId="0" borderId="1" xfId="0" applyFont="1" applyBorder="1" applyAlignment="1">
      <alignment horizontal="right"/>
    </xf>
    <xf numFmtId="0" fontId="7" fillId="0" borderId="0" xfId="0" applyFont="1" applyAlignment="1">
      <alignment horizontal="right"/>
    </xf>
    <xf numFmtId="0" fontId="0" fillId="0" borderId="0" xfId="0" applyAlignment="1">
      <alignment wrapText="1"/>
    </xf>
    <xf numFmtId="0" fontId="0" fillId="0" borderId="0" xfId="0" applyAlignment="1">
      <alignment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top" wrapText="1"/>
    </xf>
    <xf numFmtId="0" fontId="9" fillId="0" borderId="0" xfId="0" applyFont="1" applyAlignment="1">
      <alignment horizontal="left" wrapText="1"/>
    </xf>
    <xf numFmtId="0" fontId="9" fillId="0" borderId="0" xfId="1" applyNumberFormat="1" applyFont="1" applyAlignment="1">
      <alignment horizontal="left" vertical="center" wrapText="1"/>
    </xf>
    <xf numFmtId="0" fontId="1" fillId="6" borderId="1" xfId="0" applyFont="1" applyFill="1" applyBorder="1" applyAlignment="1">
      <alignment horizontal="center"/>
    </xf>
    <xf numFmtId="0" fontId="0" fillId="3" borderId="2" xfId="0" applyFill="1" applyBorder="1" applyAlignment="1">
      <alignment horizontal="center" wrapText="1"/>
    </xf>
    <xf numFmtId="0" fontId="0" fillId="3" borderId="5" xfId="0" applyFill="1" applyBorder="1" applyAlignment="1">
      <alignment horizont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1" fillId="6" borderId="7" xfId="0" applyFont="1" applyFill="1" applyBorder="1" applyAlignment="1">
      <alignment horizontal="center"/>
    </xf>
    <xf numFmtId="0" fontId="1" fillId="6" borderId="9" xfId="0" applyFont="1" applyFill="1" applyBorder="1" applyAlignment="1">
      <alignment horizontal="center"/>
    </xf>
    <xf numFmtId="0" fontId="1" fillId="6" borderId="6" xfId="0" applyFont="1" applyFill="1"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3" borderId="1" xfId="0" applyFill="1" applyBorder="1" applyAlignment="1">
      <alignment horizontal="center" vertical="center" wrapText="1"/>
    </xf>
    <xf numFmtId="0" fontId="1" fillId="0" borderId="1" xfId="0" applyFont="1" applyBorder="1" applyAlignment="1">
      <alignment horizontal="center"/>
    </xf>
    <xf numFmtId="0" fontId="0" fillId="7" borderId="1" xfId="0" applyFill="1" applyBorder="1" applyAlignment="1">
      <alignment horizontal="center" vertical="center"/>
    </xf>
    <xf numFmtId="0" fontId="1" fillId="4" borderId="1" xfId="0" applyFont="1" applyFill="1" applyBorder="1" applyAlignment="1">
      <alignment horizontal="center"/>
    </xf>
    <xf numFmtId="0" fontId="5"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7" borderId="2"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4" fillId="0" borderId="8" xfId="0" applyFont="1" applyBorder="1" applyAlignment="1">
      <alignment horizontal="center"/>
    </xf>
    <xf numFmtId="0" fontId="1" fillId="4" borderId="7" xfId="0" applyFont="1" applyFill="1" applyBorder="1" applyAlignment="1">
      <alignment horizontal="center"/>
    </xf>
    <xf numFmtId="0" fontId="1" fillId="4" borderId="9" xfId="0" applyFont="1" applyFill="1" applyBorder="1" applyAlignment="1">
      <alignment horizontal="center"/>
    </xf>
    <xf numFmtId="0" fontId="1" fillId="4" borderId="6"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cellXfs>
  <cellStyles count="2">
    <cellStyle name="Moeda"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4"/>
          <c:order val="0"/>
          <c:tx>
            <c:strRef>
              <c:f>'BSCCO (1st Gen.)'!$B$17</c:f>
              <c:strCache>
                <c:ptCount val="1"/>
                <c:pt idx="0">
                  <c:v>Experimental results, f=50Hz</c:v>
                </c:pt>
              </c:strCache>
              <c:extLst xmlns:c15="http://schemas.microsoft.com/office/drawing/2012/chart"/>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'BSCCO (1st Gen.)'!$C$18:$EG$18</c:f>
              <c:numCache>
                <c:formatCode>General</c:formatCode>
                <c:ptCount val="135"/>
                <c:pt idx="0">
                  <c:v>3.153696244092</c:v>
                </c:pt>
                <c:pt idx="1">
                  <c:v>6.4770981156687801</c:v>
                </c:pt>
                <c:pt idx="2">
                  <c:v>9.8146421228692802</c:v>
                </c:pt>
                <c:pt idx="3">
                  <c:v>13.152186130069801</c:v>
                </c:pt>
                <c:pt idx="4">
                  <c:v>16.4614458660228</c:v>
                </c:pt>
                <c:pt idx="5">
                  <c:v>19.813132008847099</c:v>
                </c:pt>
                <c:pt idx="6">
                  <c:v>23.136533880423801</c:v>
                </c:pt>
                <c:pt idx="7">
                  <c:v>26.4882200232481</c:v>
                </c:pt>
                <c:pt idx="8">
                  <c:v>29.8399061660723</c:v>
                </c:pt>
                <c:pt idx="9">
                  <c:v>33.177450173272803</c:v>
                </c:pt>
                <c:pt idx="10">
                  <c:v>34.025978310696701</c:v>
                </c:pt>
                <c:pt idx="11">
                  <c:v>36.486709909225901</c:v>
                </c:pt>
                <c:pt idx="12">
                  <c:v>37.434232996015801</c:v>
                </c:pt>
                <c:pt idx="13">
                  <c:v>39.7676853739314</c:v>
                </c:pt>
                <c:pt idx="14">
                  <c:v>40.870771952582402</c:v>
                </c:pt>
                <c:pt idx="15">
                  <c:v>43.2042243304981</c:v>
                </c:pt>
                <c:pt idx="16">
                  <c:v>44.264884502277901</c:v>
                </c:pt>
                <c:pt idx="17">
                  <c:v>46.541768337698599</c:v>
                </c:pt>
                <c:pt idx="18">
                  <c:v>47.701423458844502</c:v>
                </c:pt>
                <c:pt idx="19">
                  <c:v>49.893454480522799</c:v>
                </c:pt>
                <c:pt idx="20">
                  <c:v>51.123820279787402</c:v>
                </c:pt>
                <c:pt idx="21">
                  <c:v>53.117861402733503</c:v>
                </c:pt>
                <c:pt idx="22">
                  <c:v>54.517932829482803</c:v>
                </c:pt>
                <c:pt idx="23">
                  <c:v>55.861435713737301</c:v>
                </c:pt>
                <c:pt idx="24">
                  <c:v>57.2756492761104</c:v>
                </c:pt>
                <c:pt idx="25">
                  <c:v>59.255548263432701</c:v>
                </c:pt>
                <c:pt idx="26">
                  <c:v>60.6697618258058</c:v>
                </c:pt>
                <c:pt idx="27">
                  <c:v>62.508239456890799</c:v>
                </c:pt>
                <c:pt idx="28">
                  <c:v>64.0638743755012</c:v>
                </c:pt>
                <c:pt idx="29">
                  <c:v>65.619509294111594</c:v>
                </c:pt>
                <c:pt idx="30">
                  <c:v>67.457986925196593</c:v>
                </c:pt>
                <c:pt idx="31">
                  <c:v>68.8722004875697</c:v>
                </c:pt>
                <c:pt idx="32">
                  <c:v>70.8520994748921</c:v>
                </c:pt>
                <c:pt idx="33">
                  <c:v>72.124891681027904</c:v>
                </c:pt>
                <c:pt idx="34">
                  <c:v>74.246212024587507</c:v>
                </c:pt>
                <c:pt idx="35">
                  <c:v>75.519004230723297</c:v>
                </c:pt>
                <c:pt idx="36">
                  <c:v>77.6403245742829</c:v>
                </c:pt>
                <c:pt idx="37">
                  <c:v>78.771695424181402</c:v>
                </c:pt>
                <c:pt idx="38">
                  <c:v>80.893015767741105</c:v>
                </c:pt>
                <c:pt idx="39">
                  <c:v>81.882965261402205</c:v>
                </c:pt>
                <c:pt idx="40">
                  <c:v>84.287128317436498</c:v>
                </c:pt>
                <c:pt idx="41">
                  <c:v>85.277077811097598</c:v>
                </c:pt>
                <c:pt idx="42">
                  <c:v>87.681240867131905</c:v>
                </c:pt>
                <c:pt idx="43">
                  <c:v>88.671190360793105</c:v>
                </c:pt>
                <c:pt idx="44">
                  <c:v>91.075353416827298</c:v>
                </c:pt>
                <c:pt idx="45">
                  <c:v>91.923881554251196</c:v>
                </c:pt>
                <c:pt idx="46">
                  <c:v>94.328044610285502</c:v>
                </c:pt>
                <c:pt idx="47">
                  <c:v>95.176572747709301</c:v>
                </c:pt>
                <c:pt idx="48">
                  <c:v>97.722157159980895</c:v>
                </c:pt>
                <c:pt idx="49">
                  <c:v>98.287842584930104</c:v>
                </c:pt>
                <c:pt idx="50">
                  <c:v>101.116269709676</c:v>
                </c:pt>
                <c:pt idx="51">
                  <c:v>101.823376490863</c:v>
                </c:pt>
                <c:pt idx="52">
                  <c:v>104.368960903134</c:v>
                </c:pt>
                <c:pt idx="53">
                  <c:v>105.076067684321</c:v>
                </c:pt>
                <c:pt idx="54">
                  <c:v>107.76307345283</c:v>
                </c:pt>
                <c:pt idx="55">
                  <c:v>108.18733752154201</c:v>
                </c:pt>
                <c:pt idx="56">
                  <c:v>111.01576464628801</c:v>
                </c:pt>
                <c:pt idx="57">
                  <c:v>111.722871427475</c:v>
                </c:pt>
                <c:pt idx="58">
                  <c:v>114.268455839746</c:v>
                </c:pt>
                <c:pt idx="59">
                  <c:v>114.551298552221</c:v>
                </c:pt>
                <c:pt idx="60">
                  <c:v>117.521147033204</c:v>
                </c:pt>
                <c:pt idx="61">
                  <c:v>118.369675170628</c:v>
                </c:pt>
                <c:pt idx="62">
                  <c:v>120.91525958290001</c:v>
                </c:pt>
                <c:pt idx="63">
                  <c:v>121.62236636408601</c:v>
                </c:pt>
                <c:pt idx="64">
                  <c:v>124.167950776358</c:v>
                </c:pt>
                <c:pt idx="65">
                  <c:v>124.73363620130699</c:v>
                </c:pt>
                <c:pt idx="66">
                  <c:v>127.420641969816</c:v>
                </c:pt>
                <c:pt idx="67">
                  <c:v>127.84490603852799</c:v>
                </c:pt>
                <c:pt idx="68">
                  <c:v>130.81475451951101</c:v>
                </c:pt>
                <c:pt idx="69">
                  <c:v>131.23901858822299</c:v>
                </c:pt>
                <c:pt idx="70">
                  <c:v>133.926024356732</c:v>
                </c:pt>
                <c:pt idx="71">
                  <c:v>134.49170978168101</c:v>
                </c:pt>
                <c:pt idx="72">
                  <c:v>137.32013690642799</c:v>
                </c:pt>
                <c:pt idx="73">
                  <c:v>137.46155826266499</c:v>
                </c:pt>
                <c:pt idx="74">
                  <c:v>140.43140674364801</c:v>
                </c:pt>
                <c:pt idx="75">
                  <c:v>140.99709216859799</c:v>
                </c:pt>
                <c:pt idx="76">
                  <c:v>143.684097937106</c:v>
                </c:pt>
                <c:pt idx="77">
                  <c:v>144.24978336205601</c:v>
                </c:pt>
                <c:pt idx="78">
                  <c:v>146.93678913056499</c:v>
                </c:pt>
                <c:pt idx="79">
                  <c:v>147.502474555514</c:v>
                </c:pt>
                <c:pt idx="80">
                  <c:v>150.18948032402301</c:v>
                </c:pt>
                <c:pt idx="81">
                  <c:v>150.75516574897199</c:v>
                </c:pt>
                <c:pt idx="82">
                  <c:v>153.300750161244</c:v>
                </c:pt>
                <c:pt idx="83">
                  <c:v>154.00785694243001</c:v>
                </c:pt>
                <c:pt idx="84">
                  <c:v>156.41201999846399</c:v>
                </c:pt>
                <c:pt idx="85">
                  <c:v>156.69486271093899</c:v>
                </c:pt>
                <c:pt idx="86">
                  <c:v>159.80613254816001</c:v>
                </c:pt>
                <c:pt idx="87">
                  <c:v>160.08897526063399</c:v>
                </c:pt>
                <c:pt idx="88">
                  <c:v>162.917402385381</c:v>
                </c:pt>
                <c:pt idx="89">
                  <c:v>163.341666454093</c:v>
                </c:pt>
                <c:pt idx="90">
                  <c:v>166.17009357883899</c:v>
                </c:pt>
                <c:pt idx="91">
                  <c:v>166.45293629131299</c:v>
                </c:pt>
                <c:pt idx="92">
                  <c:v>169.56420612853401</c:v>
                </c:pt>
                <c:pt idx="93">
                  <c:v>169.98847019724599</c:v>
                </c:pt>
                <c:pt idx="94">
                  <c:v>173.099740034467</c:v>
                </c:pt>
                <c:pt idx="95">
                  <c:v>173.94826817189099</c:v>
                </c:pt>
                <c:pt idx="96">
                  <c:v>176.21100987168799</c:v>
                </c:pt>
                <c:pt idx="97">
                  <c:v>176.91811665287401</c:v>
                </c:pt>
                <c:pt idx="98">
                  <c:v>179.18085835267101</c:v>
                </c:pt>
                <c:pt idx="99">
                  <c:v>180.170807846332</c:v>
                </c:pt>
                <c:pt idx="100">
                  <c:v>182.009285477417</c:v>
                </c:pt>
                <c:pt idx="101">
                  <c:v>183.28207768355301</c:v>
                </c:pt>
                <c:pt idx="102">
                  <c:v>185.12055531463801</c:v>
                </c:pt>
                <c:pt idx="103">
                  <c:v>186.676190233249</c:v>
                </c:pt>
                <c:pt idx="104">
                  <c:v>188.231825151859</c:v>
                </c:pt>
                <c:pt idx="105">
                  <c:v>189.787460070469</c:v>
                </c:pt>
                <c:pt idx="106">
                  <c:v>191.34309498907999</c:v>
                </c:pt>
                <c:pt idx="107">
                  <c:v>192.89872990769001</c:v>
                </c:pt>
                <c:pt idx="108">
                  <c:v>194.454364826301</c:v>
                </c:pt>
                <c:pt idx="109">
                  <c:v>196.009999744911</c:v>
                </c:pt>
                <c:pt idx="110">
                  <c:v>198.131320088471</c:v>
                </c:pt>
                <c:pt idx="111" formatCode="0.00E+00">
                  <c:v>200.53548314450501</c:v>
                </c:pt>
                <c:pt idx="112">
                  <c:v>201.24258992569099</c:v>
                </c:pt>
                <c:pt idx="113">
                  <c:v>204.21243840667501</c:v>
                </c:pt>
                <c:pt idx="114">
                  <c:v>205.06096654409899</c:v>
                </c:pt>
                <c:pt idx="115">
                  <c:v>207.32370824389599</c:v>
                </c:pt>
                <c:pt idx="116">
                  <c:v>210.15213536864201</c:v>
                </c:pt>
                <c:pt idx="117">
                  <c:v>210.15213536864201</c:v>
                </c:pt>
                <c:pt idx="118">
                  <c:v>213.26340520586299</c:v>
                </c:pt>
                <c:pt idx="119">
                  <c:v>215.80898961813401</c:v>
                </c:pt>
                <c:pt idx="120">
                  <c:v>216.09183233060901</c:v>
                </c:pt>
                <c:pt idx="121">
                  <c:v>219.061680811592</c:v>
                </c:pt>
                <c:pt idx="122">
                  <c:v>221.89010793633901</c:v>
                </c:pt>
                <c:pt idx="123">
                  <c:v>222.03152929257601</c:v>
                </c:pt>
                <c:pt idx="124">
                  <c:v>224.859956417322</c:v>
                </c:pt>
                <c:pt idx="125">
                  <c:v>227.97122625454301</c:v>
                </c:pt>
                <c:pt idx="126">
                  <c:v>233.76950186027301</c:v>
                </c:pt>
                <c:pt idx="127">
                  <c:v>239.85062017847699</c:v>
                </c:pt>
                <c:pt idx="128">
                  <c:v>245.64889578420701</c:v>
                </c:pt>
                <c:pt idx="129">
                  <c:v>251.44717138993599</c:v>
                </c:pt>
                <c:pt idx="130">
                  <c:v>256.67976157071701</c:v>
                </c:pt>
                <c:pt idx="131">
                  <c:v>261.912351751497</c:v>
                </c:pt>
                <c:pt idx="132">
                  <c:v>267.56920600098999</c:v>
                </c:pt>
                <c:pt idx="133">
                  <c:v>272.94321753800699</c:v>
                </c:pt>
                <c:pt idx="134">
                  <c:v>278.17580771878801</c:v>
                </c:pt>
              </c:numCache>
              <c:extLst xmlns:c15="http://schemas.microsoft.com/office/drawing/2012/chart"/>
            </c:numRef>
          </c:xVal>
          <c:yVal>
            <c:numRef>
              <c:f>'BSCCO (1st Gen.)'!$C$19:$EG$19</c:f>
              <c:numCache>
                <c:formatCode>General</c:formatCode>
                <c:ptCount val="135"/>
                <c:pt idx="0" formatCode="0.00E+00">
                  <c:v>5.3751603171852601E-5</c:v>
                </c:pt>
                <c:pt idx="1">
                  <c:v>3.8214650056147301E-4</c:v>
                </c:pt>
                <c:pt idx="2">
                  <c:v>4.0000000000000002E-4</c:v>
                </c:pt>
                <c:pt idx="3">
                  <c:v>5.1107712133388996E-4</c:v>
                </c:pt>
                <c:pt idx="4">
                  <c:v>6.80229525094727E-4</c:v>
                </c:pt>
                <c:pt idx="5">
                  <c:v>1.39859242551438E-3</c:v>
                </c:pt>
                <c:pt idx="6">
                  <c:v>1.3033577200472399E-3</c:v>
                </c:pt>
                <c:pt idx="7">
                  <c:v>1.52937135740241E-3</c:v>
                </c:pt>
                <c:pt idx="8">
                  <c:v>1.6928006090223401E-3</c:v>
                </c:pt>
                <c:pt idx="9">
                  <c:v>2.8771582304265701E-3</c:v>
                </c:pt>
                <c:pt idx="10">
                  <c:v>6.3121235392650304E-3</c:v>
                </c:pt>
                <c:pt idx="11">
                  <c:v>3.2510461364935401E-3</c:v>
                </c:pt>
                <c:pt idx="12">
                  <c:v>5.0346097843339697E-4</c:v>
                </c:pt>
                <c:pt idx="13">
                  <c:v>1.8348913883848E-3</c:v>
                </c:pt>
                <c:pt idx="14">
                  <c:v>5.3546106085478199E-3</c:v>
                </c:pt>
                <c:pt idx="15">
                  <c:v>2.1118693660339802E-3</c:v>
                </c:pt>
                <c:pt idx="16">
                  <c:v>2.0604124939809301E-4</c:v>
                </c:pt>
                <c:pt idx="17">
                  <c:v>2.1400341424386402E-3</c:v>
                </c:pt>
                <c:pt idx="18">
                  <c:v>2.7735066317811602E-3</c:v>
                </c:pt>
                <c:pt idx="19">
                  <c:v>3.5303820383366501E-3</c:v>
                </c:pt>
                <c:pt idx="20">
                  <c:v>2.8148469299700799E-3</c:v>
                </c:pt>
                <c:pt idx="21">
                  <c:v>7.9287080223394493E-3</c:v>
                </c:pt>
                <c:pt idx="22">
                  <c:v>7.37143072677176E-3</c:v>
                </c:pt>
                <c:pt idx="23">
                  <c:v>6.0426939368371799E-3</c:v>
                </c:pt>
                <c:pt idx="24">
                  <c:v>5.8586016558762099E-3</c:v>
                </c:pt>
                <c:pt idx="25">
                  <c:v>6.3075857459383997E-3</c:v>
                </c:pt>
                <c:pt idx="26">
                  <c:v>7.6895866492254503E-3</c:v>
                </c:pt>
                <c:pt idx="27">
                  <c:v>6.9346358366158102E-3</c:v>
                </c:pt>
                <c:pt idx="28">
                  <c:v>9.3831695407765401E-3</c:v>
                </c:pt>
                <c:pt idx="29">
                  <c:v>1.0939469910221E-2</c:v>
                </c:pt>
                <c:pt idx="30">
                  <c:v>7.7099060036498E-3</c:v>
                </c:pt>
                <c:pt idx="31">
                  <c:v>9.7244996574137599E-3</c:v>
                </c:pt>
                <c:pt idx="32">
                  <c:v>1.22065019531932E-2</c:v>
                </c:pt>
                <c:pt idx="33">
                  <c:v>1.36393575337403E-2</c:v>
                </c:pt>
                <c:pt idx="34">
                  <c:v>1.5407656890655401E-2</c:v>
                </c:pt>
                <c:pt idx="35">
                  <c:v>1.57146359538279E-2</c:v>
                </c:pt>
                <c:pt idx="36">
                  <c:v>1.8752513986512901E-2</c:v>
                </c:pt>
                <c:pt idx="37">
                  <c:v>1.6641914584084601E-2</c:v>
                </c:pt>
                <c:pt idx="38">
                  <c:v>1.93781703807097E-2</c:v>
                </c:pt>
                <c:pt idx="39">
                  <c:v>2.2688374659499098E-2</c:v>
                </c:pt>
                <c:pt idx="40">
                  <c:v>1.4944818933288501E-2</c:v>
                </c:pt>
                <c:pt idx="41">
                  <c:v>2.1531489773613001E-2</c:v>
                </c:pt>
                <c:pt idx="42">
                  <c:v>2.0679542901906101E-2</c:v>
                </c:pt>
                <c:pt idx="43">
                  <c:v>2.47979913350003E-2</c:v>
                </c:pt>
                <c:pt idx="44">
                  <c:v>3.22209904565696E-2</c:v>
                </c:pt>
                <c:pt idx="45">
                  <c:v>2.82453197466612E-2</c:v>
                </c:pt>
                <c:pt idx="46">
                  <c:v>2.5452937688164201E-2</c:v>
                </c:pt>
                <c:pt idx="47">
                  <c:v>3.2648402197621502E-2</c:v>
                </c:pt>
                <c:pt idx="48">
                  <c:v>4.2722210295138299E-2</c:v>
                </c:pt>
                <c:pt idx="49">
                  <c:v>3.5718703647184602E-2</c:v>
                </c:pt>
                <c:pt idx="50">
                  <c:v>3.23641942332707E-2</c:v>
                </c:pt>
                <c:pt idx="51">
                  <c:v>3.9170280982418898E-2</c:v>
                </c:pt>
                <c:pt idx="52">
                  <c:v>3.89770566827164E-2</c:v>
                </c:pt>
                <c:pt idx="53">
                  <c:v>4.22939020044171E-2</c:v>
                </c:pt>
                <c:pt idx="54">
                  <c:v>4.7677511010305297E-2</c:v>
                </c:pt>
                <c:pt idx="55">
                  <c:v>4.6611628082868298E-2</c:v>
                </c:pt>
                <c:pt idx="56">
                  <c:v>4.51134698423434E-2</c:v>
                </c:pt>
                <c:pt idx="57">
                  <c:v>5.1714405971517302E-2</c:v>
                </c:pt>
                <c:pt idx="58">
                  <c:v>4.6467135873115101E-2</c:v>
                </c:pt>
                <c:pt idx="59">
                  <c:v>6.1662500270444003E-2</c:v>
                </c:pt>
                <c:pt idx="60">
                  <c:v>5.51644361859105E-2</c:v>
                </c:pt>
                <c:pt idx="61">
                  <c:v>6.4563758273159605E-2</c:v>
                </c:pt>
                <c:pt idx="62">
                  <c:v>5.9858755726841399E-2</c:v>
                </c:pt>
                <c:pt idx="63">
                  <c:v>7.1568704924957705E-2</c:v>
                </c:pt>
                <c:pt idx="64">
                  <c:v>8.1043804248888907E-2</c:v>
                </c:pt>
                <c:pt idx="65">
                  <c:v>8.0771235018760101E-2</c:v>
                </c:pt>
                <c:pt idx="66">
                  <c:v>8.2373955786718203E-2</c:v>
                </c:pt>
                <c:pt idx="67">
                  <c:v>8.7681672276363504E-2</c:v>
                </c:pt>
                <c:pt idx="68">
                  <c:v>9.2448778854062302E-2</c:v>
                </c:pt>
                <c:pt idx="69">
                  <c:v>9.9348910537746596E-2</c:v>
                </c:pt>
                <c:pt idx="70">
                  <c:v>9.7063641059970895E-2</c:v>
                </c:pt>
                <c:pt idx="71">
                  <c:v>0.104189327059019</c:v>
                </c:pt>
                <c:pt idx="72">
                  <c:v>9.40479235051907E-2</c:v>
                </c:pt>
                <c:pt idx="73">
                  <c:v>0.114342006333886</c:v>
                </c:pt>
                <c:pt idx="74">
                  <c:v>0.10273964509587701</c:v>
                </c:pt>
                <c:pt idx="75">
                  <c:v>0.126527016707835</c:v>
                </c:pt>
                <c:pt idx="76">
                  <c:v>0.122000588432745</c:v>
                </c:pt>
                <c:pt idx="77">
                  <c:v>0.14065757544393101</c:v>
                </c:pt>
                <c:pt idx="78">
                  <c:v>0.122219394897018</c:v>
                </c:pt>
                <c:pt idx="79">
                  <c:v>0.14647771608994301</c:v>
                </c:pt>
                <c:pt idx="80">
                  <c:v>0.14959495479474899</c:v>
                </c:pt>
                <c:pt idx="81">
                  <c:v>0.16726821838113601</c:v>
                </c:pt>
                <c:pt idx="82">
                  <c:v>0.15496622015449199</c:v>
                </c:pt>
                <c:pt idx="83">
                  <c:v>0.17801282246245101</c:v>
                </c:pt>
                <c:pt idx="84">
                  <c:v>0.18412802231547101</c:v>
                </c:pt>
                <c:pt idx="85">
                  <c:v>0.19410776931364901</c:v>
                </c:pt>
                <c:pt idx="86">
                  <c:v>0.16695550193995201</c:v>
                </c:pt>
                <c:pt idx="87">
                  <c:v>0.20995878532530601</c:v>
                </c:pt>
                <c:pt idx="88">
                  <c:v>0.18051487555618601</c:v>
                </c:pt>
                <c:pt idx="89">
                  <c:v>0.227391222690251</c:v>
                </c:pt>
                <c:pt idx="90">
                  <c:v>0.20510900393105799</c:v>
                </c:pt>
                <c:pt idx="91">
                  <c:v>0.248599383591425</c:v>
                </c:pt>
                <c:pt idx="92">
                  <c:v>0.27177332516476099</c:v>
                </c:pt>
                <c:pt idx="93">
                  <c:v>0.22614866197771999</c:v>
                </c:pt>
                <c:pt idx="94">
                  <c:v>0.297513905390412</c:v>
                </c:pt>
                <c:pt idx="95">
                  <c:v>0.24863575762600101</c:v>
                </c:pt>
                <c:pt idx="96">
                  <c:v>0.32100286929597099</c:v>
                </c:pt>
                <c:pt idx="97">
                  <c:v>0.27952401647502101</c:v>
                </c:pt>
                <c:pt idx="98">
                  <c:v>0.34024270485038399</c:v>
                </c:pt>
                <c:pt idx="99">
                  <c:v>0.28125113961027398</c:v>
                </c:pt>
                <c:pt idx="100">
                  <c:v>0.34838197606968502</c:v>
                </c:pt>
                <c:pt idx="101">
                  <c:v>0.327874268211302</c:v>
                </c:pt>
                <c:pt idx="102">
                  <c:v>0.399668823236764</c:v>
                </c:pt>
                <c:pt idx="103">
                  <c:v>0.37280848876568501</c:v>
                </c:pt>
                <c:pt idx="104">
                  <c:v>0.44357692710992702</c:v>
                </c:pt>
                <c:pt idx="105">
                  <c:v>0.39772233382973499</c:v>
                </c:pt>
                <c:pt idx="106">
                  <c:v>0.46453565343179898</c:v>
                </c:pt>
                <c:pt idx="107">
                  <c:v>0.42300597329490802</c:v>
                </c:pt>
                <c:pt idx="108">
                  <c:v>0.497166502745579</c:v>
                </c:pt>
                <c:pt idx="109">
                  <c:v>0.46329870198087703</c:v>
                </c:pt>
                <c:pt idx="110">
                  <c:v>0.465471922959383</c:v>
                </c:pt>
                <c:pt idx="111" formatCode="0.00E+00">
                  <c:v>0.53299267899135805</c:v>
                </c:pt>
                <c:pt idx="112">
                  <c:v>0.53783799278935596</c:v>
                </c:pt>
                <c:pt idx="113">
                  <c:v>0.56032921800860502</c:v>
                </c:pt>
                <c:pt idx="114">
                  <c:v>0.62049854480502298</c:v>
                </c:pt>
                <c:pt idx="115">
                  <c:v>0.63125312969680203</c:v>
                </c:pt>
                <c:pt idx="116">
                  <c:v>0.66976300151068202</c:v>
                </c:pt>
                <c:pt idx="117">
                  <c:v>0.73966948555079304</c:v>
                </c:pt>
                <c:pt idx="118">
                  <c:v>0.76004640535347801</c:v>
                </c:pt>
                <c:pt idx="119">
                  <c:v>0.887705251887974</c:v>
                </c:pt>
                <c:pt idx="120">
                  <c:v>0.832990068316809</c:v>
                </c:pt>
                <c:pt idx="121">
                  <c:v>0.92483206395579198</c:v>
                </c:pt>
                <c:pt idx="122">
                  <c:v>1.0945950334074599</c:v>
                </c:pt>
                <c:pt idx="123">
                  <c:v>1.0608811148316</c:v>
                </c:pt>
                <c:pt idx="124">
                  <c:v>1.16786052240142</c:v>
                </c:pt>
                <c:pt idx="125">
                  <c:v>1.3577645480180001</c:v>
                </c:pt>
                <c:pt idx="126">
                  <c:v>1.6375741734909399</c:v>
                </c:pt>
                <c:pt idx="127">
                  <c:v>2.1371707221037202</c:v>
                </c:pt>
                <c:pt idx="128">
                  <c:v>2.6623047284236701</c:v>
                </c:pt>
                <c:pt idx="129">
                  <c:v>3.2775479134467198</c:v>
                </c:pt>
                <c:pt idx="130">
                  <c:v>3.8394503120815302</c:v>
                </c:pt>
                <c:pt idx="131">
                  <c:v>4.5884210260786</c:v>
                </c:pt>
                <c:pt idx="132">
                  <c:v>5.5807138445942703</c:v>
                </c:pt>
                <c:pt idx="133">
                  <c:v>6.7159431505625804</c:v>
                </c:pt>
                <c:pt idx="134">
                  <c:v>7.4571722977134698</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4-EC8C-4EEC-B2B1-2B9087E95CEA}"/>
            </c:ext>
          </c:extLst>
        </c:ser>
        <c:ser>
          <c:idx val="2"/>
          <c:order val="1"/>
          <c:tx>
            <c:strRef>
              <c:f>'BSCCO (1st Gen.)'!$B$24:$B$35</c:f>
              <c:strCache>
                <c:ptCount val="1"/>
                <c:pt idx="0">
                  <c:v>Ext-Norris-175-11-0,14</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'BSCCO (1st Gen.)'!$I$24:$X$24</c:f>
              <c:numCache>
                <c:formatCode>General</c:formatCode>
                <c:ptCount val="16"/>
                <c:pt idx="0">
                  <c:v>70</c:v>
                </c:pt>
                <c:pt idx="1">
                  <c:v>84</c:v>
                </c:pt>
                <c:pt idx="2">
                  <c:v>98</c:v>
                </c:pt>
                <c:pt idx="3">
                  <c:v>112</c:v>
                </c:pt>
                <c:pt idx="4">
                  <c:v>126</c:v>
                </c:pt>
                <c:pt idx="5">
                  <c:v>140</c:v>
                </c:pt>
                <c:pt idx="6">
                  <c:v>154</c:v>
                </c:pt>
                <c:pt idx="7">
                  <c:v>168</c:v>
                </c:pt>
                <c:pt idx="8">
                  <c:v>182</c:v>
                </c:pt>
                <c:pt idx="9">
                  <c:v>196</c:v>
                </c:pt>
                <c:pt idx="10">
                  <c:v>210</c:v>
                </c:pt>
                <c:pt idx="11">
                  <c:v>224</c:v>
                </c:pt>
                <c:pt idx="12">
                  <c:v>238</c:v>
                </c:pt>
                <c:pt idx="13">
                  <c:v>252</c:v>
                </c:pt>
                <c:pt idx="14">
                  <c:v>266</c:v>
                </c:pt>
                <c:pt idx="15">
                  <c:v>280</c:v>
                </c:pt>
              </c:numCache>
            </c:numRef>
          </c:xVal>
          <c:yVal>
            <c:numRef>
              <c:f>'BSCCO (1st Gen.)'!$I$36:$X$36</c:f>
              <c:numCache>
                <c:formatCode>0.00E+00</c:formatCode>
                <c:ptCount val="16"/>
                <c:pt idx="0">
                  <c:v>8.4731862281908297E-3</c:v>
                </c:pt>
                <c:pt idx="1">
                  <c:v>1.5760192533318857E-2</c:v>
                </c:pt>
                <c:pt idx="2">
                  <c:v>2.7275137041360236E-2</c:v>
                </c:pt>
                <c:pt idx="3">
                  <c:v>4.5157256516417534E-2</c:v>
                </c:pt>
                <c:pt idx="4">
                  <c:v>7.3283480825352076E-2</c:v>
                </c:pt>
                <c:pt idx="5">
                  <c:v>0.12044793755276487</c:v>
                </c:pt>
                <c:pt idx="6">
                  <c:v>0.22441361888290581</c:v>
                </c:pt>
                <c:pt idx="7">
                  <c:v>0.23475809321943247</c:v>
                </c:pt>
                <c:pt idx="8">
                  <c:v>0.25753821263979787</c:v>
                </c:pt>
                <c:pt idx="9">
                  <c:v>0.34410462184923774</c:v>
                </c:pt>
                <c:pt idx="10">
                  <c:v>0.57297992335855863</c:v>
                </c:pt>
                <c:pt idx="11">
                  <c:v>1.1325252312381098</c:v>
                </c:pt>
                <c:pt idx="12">
                  <c:v>2.4263138154537347</c:v>
                </c:pt>
                <c:pt idx="13">
                  <c:v>5.285805640018669</c:v>
                </c:pt>
                <c:pt idx="14">
                  <c:v>11.365285904966527</c:v>
                </c:pt>
                <c:pt idx="15">
                  <c:v>23.854767998518778</c:v>
                </c:pt>
              </c:numCache>
            </c:numRef>
          </c:yVal>
          <c:smooth val="1"/>
          <c:extLst>
            <c:ext xmlns:c16="http://schemas.microsoft.com/office/drawing/2014/chart" uri="{C3380CC4-5D6E-409C-BE32-E72D297353CC}">
              <c16:uniqueId val="{00000002-EC8C-4EEC-B2B1-2B9087E95CEA}"/>
            </c:ext>
          </c:extLst>
        </c:ser>
        <c:ser>
          <c:idx val="9"/>
          <c:order val="2"/>
          <c:tx>
            <c:strRef>
              <c:f>'BSCCO (1st Gen.)'!$B$40</c:f>
              <c:strCache>
                <c:ptCount val="1"/>
                <c:pt idx="0">
                  <c:v>Sigmoid-175-11-0,14</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numRef>
              <c:f>'BSCCO (1st Gen.)'!$I$24:$X$24</c:f>
              <c:numCache>
                <c:formatCode>General</c:formatCode>
                <c:ptCount val="16"/>
                <c:pt idx="0">
                  <c:v>70</c:v>
                </c:pt>
                <c:pt idx="1">
                  <c:v>84</c:v>
                </c:pt>
                <c:pt idx="2">
                  <c:v>98</c:v>
                </c:pt>
                <c:pt idx="3">
                  <c:v>112</c:v>
                </c:pt>
                <c:pt idx="4">
                  <c:v>126</c:v>
                </c:pt>
                <c:pt idx="5">
                  <c:v>140</c:v>
                </c:pt>
                <c:pt idx="6">
                  <c:v>154</c:v>
                </c:pt>
                <c:pt idx="7">
                  <c:v>168</c:v>
                </c:pt>
                <c:pt idx="8">
                  <c:v>182</c:v>
                </c:pt>
                <c:pt idx="9">
                  <c:v>196</c:v>
                </c:pt>
                <c:pt idx="10">
                  <c:v>210</c:v>
                </c:pt>
                <c:pt idx="11">
                  <c:v>224</c:v>
                </c:pt>
                <c:pt idx="12">
                  <c:v>238</c:v>
                </c:pt>
                <c:pt idx="13">
                  <c:v>252</c:v>
                </c:pt>
                <c:pt idx="14">
                  <c:v>266</c:v>
                </c:pt>
                <c:pt idx="15">
                  <c:v>280</c:v>
                </c:pt>
              </c:numCache>
            </c:numRef>
          </c:xVal>
          <c:yVal>
            <c:numRef>
              <c:f>'BSCCO (1st Gen.)'!$I$47:$X$47</c:f>
              <c:numCache>
                <c:formatCode>0.00E+00</c:formatCode>
                <c:ptCount val="16"/>
                <c:pt idx="0">
                  <c:v>1.0926538864933616E-2</c:v>
                </c:pt>
                <c:pt idx="1">
                  <c:v>1.7776858053095475E-2</c:v>
                </c:pt>
                <c:pt idx="2">
                  <c:v>2.8797817451338734E-2</c:v>
                </c:pt>
                <c:pt idx="3">
                  <c:v>4.6207496145689551E-2</c:v>
                </c:pt>
                <c:pt idx="4">
                  <c:v>7.2765948141698802E-2</c:v>
                </c:pt>
                <c:pt idx="5">
                  <c:v>0.11092413429355925</c:v>
                </c:pt>
                <c:pt idx="6">
                  <c:v>0.16108634613111564</c:v>
                </c:pt>
                <c:pt idx="7">
                  <c:v>0.22179917347522848</c:v>
                </c:pt>
                <c:pt idx="8">
                  <c:v>0.29790191829508034</c:v>
                </c:pt>
                <c:pt idx="9">
                  <c:v>0.41527330386655592</c:v>
                </c:pt>
                <c:pt idx="10">
                  <c:v>0.66363873284157449</c:v>
                </c:pt>
                <c:pt idx="11">
                  <c:v>1.2340095531164921</c:v>
                </c:pt>
                <c:pt idx="12">
                  <c:v>2.5328765333516428</c:v>
                </c:pt>
                <c:pt idx="13">
                  <c:v>5.3939793359388331</c:v>
                </c:pt>
                <c:pt idx="14">
                  <c:v>11.473115131086228</c:v>
                </c:pt>
                <c:pt idx="15">
                  <c:v>23.961211239011796</c:v>
                </c:pt>
              </c:numCache>
            </c:numRef>
          </c:yVal>
          <c:smooth val="1"/>
          <c:extLst>
            <c:ext xmlns:c16="http://schemas.microsoft.com/office/drawing/2014/chart" uri="{C3380CC4-5D6E-409C-BE32-E72D297353CC}">
              <c16:uniqueId val="{00000002-768D-400D-A68D-E3443B08C588}"/>
            </c:ext>
          </c:extLst>
        </c:ser>
        <c:ser>
          <c:idx val="5"/>
          <c:order val="3"/>
          <c:tx>
            <c:strRef>
              <c:f>'BSCCO (1st Gen.)'!$B$51</c:f>
              <c:strCache>
                <c:ptCount val="1"/>
                <c:pt idx="0">
                  <c:v>FEA_KIM-175-11-0,14</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'BSCCO (1st Gen.)'!$I$51:$X$51</c:f>
              <c:numCache>
                <c:formatCode>General</c:formatCode>
                <c:ptCount val="16"/>
                <c:pt idx="0">
                  <c:v>70</c:v>
                </c:pt>
                <c:pt idx="1">
                  <c:v>84</c:v>
                </c:pt>
                <c:pt idx="2">
                  <c:v>98</c:v>
                </c:pt>
                <c:pt idx="3">
                  <c:v>112</c:v>
                </c:pt>
                <c:pt idx="4">
                  <c:v>126</c:v>
                </c:pt>
                <c:pt idx="5">
                  <c:v>140</c:v>
                </c:pt>
                <c:pt idx="6">
                  <c:v>154</c:v>
                </c:pt>
                <c:pt idx="7">
                  <c:v>168</c:v>
                </c:pt>
                <c:pt idx="8">
                  <c:v>182</c:v>
                </c:pt>
                <c:pt idx="9">
                  <c:v>196</c:v>
                </c:pt>
                <c:pt idx="10">
                  <c:v>210</c:v>
                </c:pt>
                <c:pt idx="11">
                  <c:v>224</c:v>
                </c:pt>
                <c:pt idx="12">
                  <c:v>238</c:v>
                </c:pt>
                <c:pt idx="13">
                  <c:v>252</c:v>
                </c:pt>
                <c:pt idx="14">
                  <c:v>266</c:v>
                </c:pt>
                <c:pt idx="15">
                  <c:v>280</c:v>
                </c:pt>
              </c:numCache>
            </c:numRef>
          </c:xVal>
          <c:yVal>
            <c:numRef>
              <c:f>'BSCCO (1st Gen.)'!$I$52:$X$52</c:f>
              <c:numCache>
                <c:formatCode>General</c:formatCode>
                <c:ptCount val="16"/>
                <c:pt idx="0" formatCode="0.00E+00">
                  <c:v>1.05111485985487E-2</c:v>
                </c:pt>
                <c:pt idx="1">
                  <c:v>1.89357873983809E-2</c:v>
                </c:pt>
                <c:pt idx="2">
                  <c:v>3.1480971167223502E-2</c:v>
                </c:pt>
                <c:pt idx="3">
                  <c:v>4.9490378137454299E-2</c:v>
                </c:pt>
                <c:pt idx="4">
                  <c:v>7.4685744715324104E-2</c:v>
                </c:pt>
                <c:pt idx="5">
                  <c:v>0.109555257252652</c:v>
                </c:pt>
                <c:pt idx="6">
                  <c:v>0.157130072606879</c:v>
                </c:pt>
                <c:pt idx="7">
                  <c:v>0.22241254245865999</c:v>
                </c:pt>
                <c:pt idx="8">
                  <c:v>0.313543189470677</c:v>
                </c:pt>
                <c:pt idx="9">
                  <c:v>0.44277510836066097</c:v>
                </c:pt>
                <c:pt idx="10">
                  <c:v>0.65378012366643701</c:v>
                </c:pt>
                <c:pt idx="11">
                  <c:v>1.1173245948956001</c:v>
                </c:pt>
                <c:pt idx="12">
                  <c:v>2.15745151378268</c:v>
                </c:pt>
                <c:pt idx="13">
                  <c:v>4.4185425473448996</c:v>
                </c:pt>
                <c:pt idx="14">
                  <c:v>9.1788825332555106</c:v>
                </c:pt>
                <c:pt idx="15">
                  <c:v>18.882528629248</c:v>
                </c:pt>
              </c:numCache>
            </c:numRef>
          </c:yVal>
          <c:smooth val="1"/>
          <c:extLst>
            <c:ext xmlns:c16="http://schemas.microsoft.com/office/drawing/2014/chart" uri="{C3380CC4-5D6E-409C-BE32-E72D297353CC}">
              <c16:uniqueId val="{00000005-EC8C-4EEC-B2B1-2B9087E95CEA}"/>
            </c:ext>
          </c:extLst>
        </c:ser>
        <c:dLbls>
          <c:showLegendKey val="0"/>
          <c:showVal val="0"/>
          <c:showCatName val="0"/>
          <c:showSerName val="0"/>
          <c:showPercent val="0"/>
          <c:showBubbleSize val="0"/>
        </c:dLbls>
        <c:axId val="797310048"/>
        <c:axId val="797314208"/>
        <c:extLst/>
      </c:scatterChart>
      <c:valAx>
        <c:axId val="797310048"/>
        <c:scaling>
          <c:orientation val="minMax"/>
          <c:min val="5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a:t>Im</a:t>
                </a:r>
                <a:r>
                  <a:rPr lang="pt-PT" baseline="0"/>
                  <a:t> (A)</a:t>
                </a:r>
                <a:endParaRPr lang="pt-PT"/>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PT"/>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797314208"/>
        <c:crosses val="autoZero"/>
        <c:crossBetween val="midCat"/>
      </c:valAx>
      <c:valAx>
        <c:axId val="797314208"/>
        <c:scaling>
          <c:logBase val="10"/>
          <c:orientation val="minMax"/>
          <c:min val="1.0000000000000002E-3"/>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a:t>P (W/m)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PT"/>
            </a:p>
          </c:txPr>
        </c:title>
        <c:numFmt formatCode="0.00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79731004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7"/>
          <c:order val="0"/>
          <c:tx>
            <c:strRef>
              <c:f>'ReBCO (2nd Gen.)'!$B$38</c:f>
              <c:strCache>
                <c:ptCount val="1"/>
                <c:pt idx="0">
                  <c:v>Sigmoid-162-0,14-21</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numRef>
              <c:f>'ReBCO (2nd Gen.)'!$H$22:$X$22</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210</c:v>
                </c:pt>
              </c:numCache>
            </c:numRef>
          </c:xVal>
          <c:yVal>
            <c:numRef>
              <c:f>'ReBCO (2nd Gen.)'!$H$45:$X$45</c:f>
              <c:numCache>
                <c:formatCode>0.00E+00</c:formatCode>
                <c:ptCount val="17"/>
                <c:pt idx="0">
                  <c:v>2.2471627573616144E-3</c:v>
                </c:pt>
                <c:pt idx="1">
                  <c:v>3.5260866399118304E-3</c:v>
                </c:pt>
                <c:pt idx="2">
                  <c:v>5.5150413345439993E-3</c:v>
                </c:pt>
                <c:pt idx="3">
                  <c:v>8.5852831105384421E-3</c:v>
                </c:pt>
                <c:pt idx="4">
                  <c:v>1.3272803179727824E-2</c:v>
                </c:pt>
                <c:pt idx="5">
                  <c:v>2.0316612332386116E-2</c:v>
                </c:pt>
                <c:pt idx="6">
                  <c:v>3.066659548862595E-2</c:v>
                </c:pt>
                <c:pt idx="7">
                  <c:v>4.5416403718705242E-2</c:v>
                </c:pt>
                <c:pt idx="8">
                  <c:v>6.5616008504221238E-2</c:v>
                </c:pt>
                <c:pt idx="9">
                  <c:v>9.2011146484467982E-2</c:v>
                </c:pt>
                <c:pt idx="10">
                  <c:v>0.12519780298099611</c:v>
                </c:pt>
                <c:pt idx="11">
                  <c:v>0.16879950476953356</c:v>
                </c:pt>
                <c:pt idx="12">
                  <c:v>0.23623327920880488</c:v>
                </c:pt>
                <c:pt idx="13">
                  <c:v>0.38940948576298368</c:v>
                </c:pt>
                <c:pt idx="14">
                  <c:v>0.8443896985878464</c:v>
                </c:pt>
                <c:pt idx="15">
                  <c:v>2.2829139166525185</c:v>
                </c:pt>
                <c:pt idx="16">
                  <c:v>6.7410781162157623</c:v>
                </c:pt>
              </c:numCache>
            </c:numRef>
          </c:yVal>
          <c:smooth val="1"/>
          <c:extLst>
            <c:ext xmlns:c16="http://schemas.microsoft.com/office/drawing/2014/chart" uri="{C3380CC4-5D6E-409C-BE32-E72D297353CC}">
              <c16:uniqueId val="{00000000-E41E-423C-B3D9-ECBF67A62D03}"/>
            </c:ext>
          </c:extLst>
        </c:ser>
        <c:ser>
          <c:idx val="1"/>
          <c:order val="1"/>
          <c:tx>
            <c:strRef>
              <c:f>'ReBCO (2nd Gen.)'!$B$50</c:f>
              <c:strCache>
                <c:ptCount val="1"/>
                <c:pt idx="0">
                  <c:v>FEA162_0,14_21</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'ReBCO (2nd Gen.)'!$G$49:$W$49</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210</c:v>
                </c:pt>
              </c:numCache>
            </c:numRef>
          </c:xVal>
          <c:yVal>
            <c:numRef>
              <c:f>'ReBCO (2nd Gen.)'!$G$50:$W$50</c:f>
              <c:numCache>
                <c:formatCode>General</c:formatCode>
                <c:ptCount val="17"/>
                <c:pt idx="0">
                  <c:v>1.3038396369802899E-3</c:v>
                </c:pt>
                <c:pt idx="1">
                  <c:v>2.5256586412246698E-3</c:v>
                </c:pt>
                <c:pt idx="2">
                  <c:v>4.6760998896999599E-3</c:v>
                </c:pt>
                <c:pt idx="3">
                  <c:v>7.8362420912129402E-3</c:v>
                </c:pt>
                <c:pt idx="4">
                  <c:v>1.27003956951316E-2</c:v>
                </c:pt>
                <c:pt idx="5">
                  <c:v>1.97093427596483E-2</c:v>
                </c:pt>
                <c:pt idx="6">
                  <c:v>2.9428618605629401E-2</c:v>
                </c:pt>
                <c:pt idx="7">
                  <c:v>4.3182183086641603E-2</c:v>
                </c:pt>
                <c:pt idx="8">
                  <c:v>6.2078709428995398E-2</c:v>
                </c:pt>
                <c:pt idx="9">
                  <c:v>8.7976826959380694E-2</c:v>
                </c:pt>
                <c:pt idx="10">
                  <c:v>0.124887828119486</c:v>
                </c:pt>
                <c:pt idx="11">
                  <c:v>0.177123735940794</c:v>
                </c:pt>
                <c:pt idx="12">
                  <c:v>0.25742668377029099</c:v>
                </c:pt>
                <c:pt idx="13">
                  <c:v>0.40782703297683598</c:v>
                </c:pt>
                <c:pt idx="14">
                  <c:v>0.89649048130483</c:v>
                </c:pt>
                <c:pt idx="15">
                  <c:v>2.5187550519337099</c:v>
                </c:pt>
                <c:pt idx="16">
                  <c:v>7.6406400437406399</c:v>
                </c:pt>
              </c:numCache>
            </c:numRef>
          </c:yVal>
          <c:smooth val="1"/>
          <c:extLst>
            <c:ext xmlns:c16="http://schemas.microsoft.com/office/drawing/2014/chart" uri="{C3380CC4-5D6E-409C-BE32-E72D297353CC}">
              <c16:uniqueId val="{00000001-E41E-423C-B3D9-ECBF67A62D03}"/>
            </c:ext>
          </c:extLst>
        </c:ser>
        <c:ser>
          <c:idx val="0"/>
          <c:order val="2"/>
          <c:tx>
            <c:strRef>
              <c:f>'ReBCO (2nd Gen.)'!$B$15</c:f>
              <c:strCache>
                <c:ptCount val="1"/>
                <c:pt idx="0">
                  <c:v>Experimental results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'ReBCO (2nd Gen.)'!$C$16:$BJ$16</c:f>
              <c:numCache>
                <c:formatCode>General</c:formatCode>
                <c:ptCount val="60"/>
                <c:pt idx="0">
                  <c:v>6.5053823869162368</c:v>
                </c:pt>
                <c:pt idx="1">
                  <c:v>9.7580735803743561</c:v>
                </c:pt>
                <c:pt idx="2">
                  <c:v>13.039049045079938</c:v>
                </c:pt>
                <c:pt idx="3">
                  <c:v>16.305882374161786</c:v>
                </c:pt>
                <c:pt idx="4">
                  <c:v>19.586857838867367</c:v>
                </c:pt>
                <c:pt idx="5">
                  <c:v>22.839549032325486</c:v>
                </c:pt>
                <c:pt idx="6">
                  <c:v>26.134666632654799</c:v>
                </c:pt>
                <c:pt idx="7">
                  <c:v>29.415642097360379</c:v>
                </c:pt>
                <c:pt idx="8">
                  <c:v>32.668333290818502</c:v>
                </c:pt>
                <c:pt idx="9">
                  <c:v>35.921024484276614</c:v>
                </c:pt>
                <c:pt idx="10">
                  <c:v>39.173715677734734</c:v>
                </c:pt>
                <c:pt idx="11">
                  <c:v>42.426406871192853</c:v>
                </c:pt>
                <c:pt idx="12">
                  <c:v>45.679098064650972</c:v>
                </c:pt>
                <c:pt idx="13">
                  <c:v>48.974215664980285</c:v>
                </c:pt>
                <c:pt idx="14">
                  <c:v>52.184480451567211</c:v>
                </c:pt>
                <c:pt idx="15">
                  <c:v>55.43717164502533</c:v>
                </c:pt>
                <c:pt idx="16">
                  <c:v>57.982756057296903</c:v>
                </c:pt>
                <c:pt idx="17">
                  <c:v>61.235447250755016</c:v>
                </c:pt>
                <c:pt idx="18">
                  <c:v>64.488138444213135</c:v>
                </c:pt>
                <c:pt idx="19">
                  <c:v>67.740829637671254</c:v>
                </c:pt>
                <c:pt idx="20">
                  <c:v>70.710678118654755</c:v>
                </c:pt>
                <c:pt idx="21">
                  <c:v>74.104790668350191</c:v>
                </c:pt>
                <c:pt idx="22">
                  <c:v>77.35748186180831</c:v>
                </c:pt>
                <c:pt idx="23">
                  <c:v>80.610173055266429</c:v>
                </c:pt>
                <c:pt idx="24">
                  <c:v>83.862864248724534</c:v>
                </c:pt>
                <c:pt idx="25">
                  <c:v>86.974134085945352</c:v>
                </c:pt>
                <c:pt idx="26">
                  <c:v>90.226825279403471</c:v>
                </c:pt>
                <c:pt idx="27">
                  <c:v>93.479516472861576</c:v>
                </c:pt>
                <c:pt idx="28">
                  <c:v>96.732207666319709</c:v>
                </c:pt>
                <c:pt idx="29">
                  <c:v>99.843477503540512</c:v>
                </c:pt>
                <c:pt idx="30">
                  <c:v>102.95474734076133</c:v>
                </c:pt>
                <c:pt idx="31">
                  <c:v>106.20743853421943</c:v>
                </c:pt>
                <c:pt idx="32">
                  <c:v>109.31870837144025</c:v>
                </c:pt>
                <c:pt idx="33">
                  <c:v>112.57139956489837</c:v>
                </c:pt>
                <c:pt idx="34">
                  <c:v>115.96551211459381</c:v>
                </c:pt>
                <c:pt idx="35">
                  <c:v>119.21820330805191</c:v>
                </c:pt>
                <c:pt idx="36">
                  <c:v>122.32947314527273</c:v>
                </c:pt>
                <c:pt idx="37">
                  <c:v>125.44074298249355</c:v>
                </c:pt>
                <c:pt idx="38">
                  <c:v>128.69343417595167</c:v>
                </c:pt>
                <c:pt idx="39">
                  <c:v>131.80470401317248</c:v>
                </c:pt>
                <c:pt idx="40">
                  <c:v>134.91597385039327</c:v>
                </c:pt>
                <c:pt idx="41">
                  <c:v>138.02724368761409</c:v>
                </c:pt>
                <c:pt idx="42">
                  <c:v>141.13851352483488</c:v>
                </c:pt>
                <c:pt idx="43">
                  <c:v>144.24978336205569</c:v>
                </c:pt>
                <c:pt idx="44">
                  <c:v>147.36105319927651</c:v>
                </c:pt>
                <c:pt idx="45">
                  <c:v>150.33090168026001</c:v>
                </c:pt>
                <c:pt idx="46">
                  <c:v>153.44217151748083</c:v>
                </c:pt>
                <c:pt idx="47">
                  <c:v>156.4120199984643</c:v>
                </c:pt>
                <c:pt idx="48">
                  <c:v>159.52328983568512</c:v>
                </c:pt>
                <c:pt idx="49">
                  <c:v>162.63455967290594</c:v>
                </c:pt>
                <c:pt idx="50">
                  <c:v>165.60440815388944</c:v>
                </c:pt>
                <c:pt idx="51">
                  <c:v>168.57425663487294</c:v>
                </c:pt>
                <c:pt idx="52">
                  <c:v>171.54410511585644</c:v>
                </c:pt>
                <c:pt idx="53">
                  <c:v>174.65537495307726</c:v>
                </c:pt>
                <c:pt idx="54">
                  <c:v>177.62522343406073</c:v>
                </c:pt>
                <c:pt idx="55">
                  <c:v>180.59507191504426</c:v>
                </c:pt>
                <c:pt idx="56">
                  <c:v>183.84776310850236</c:v>
                </c:pt>
                <c:pt idx="57">
                  <c:v>186.67619023324855</c:v>
                </c:pt>
                <c:pt idx="58">
                  <c:v>189.50461735799476</c:v>
                </c:pt>
                <c:pt idx="59">
                  <c:v>192.33304448274095</c:v>
                </c:pt>
              </c:numCache>
            </c:numRef>
          </c:xVal>
          <c:yVal>
            <c:numRef>
              <c:f>'ReBCO (2nd Gen.)'!$C$17:$BJ$17</c:f>
              <c:numCache>
                <c:formatCode>General</c:formatCode>
                <c:ptCount val="60"/>
                <c:pt idx="0">
                  <c:v>2.5309153232492471E-5</c:v>
                </c:pt>
                <c:pt idx="1">
                  <c:v>3.4331800165593148E-5</c:v>
                </c:pt>
                <c:pt idx="2">
                  <c:v>9.5105822758092862E-5</c:v>
                </c:pt>
                <c:pt idx="3">
                  <c:v>1.1160686401216313E-4</c:v>
                </c:pt>
                <c:pt idx="4">
                  <c:v>1.937719542984556E-4</c:v>
                </c:pt>
                <c:pt idx="5">
                  <c:v>2.0261653771383784E-4</c:v>
                </c:pt>
                <c:pt idx="6">
                  <c:v>3.4237119463182433E-4</c:v>
                </c:pt>
                <c:pt idx="7">
                  <c:v>5.136121998261709E-4</c:v>
                </c:pt>
                <c:pt idx="8">
                  <c:v>4.9796889939231952E-4</c:v>
                </c:pt>
                <c:pt idx="9">
                  <c:v>6.8989098771440633E-4</c:v>
                </c:pt>
                <c:pt idx="10">
                  <c:v>9.2727570201626064E-4</c:v>
                </c:pt>
                <c:pt idx="11">
                  <c:v>1.066523893225666E-3</c:v>
                </c:pt>
                <c:pt idx="12">
                  <c:v>1.4183193681176448E-3</c:v>
                </c:pt>
                <c:pt idx="13">
                  <c:v>1.7034901252918437E-3</c:v>
                </c:pt>
                <c:pt idx="14">
                  <c:v>2.1768161728459847E-3</c:v>
                </c:pt>
                <c:pt idx="15">
                  <c:v>2.6226557018950774E-3</c:v>
                </c:pt>
                <c:pt idx="16">
                  <c:v>3.139961605700859E-3</c:v>
                </c:pt>
                <c:pt idx="17">
                  <c:v>3.7582305109952704E-3</c:v>
                </c:pt>
                <c:pt idx="18">
                  <c:v>4.4951082184171622E-3</c:v>
                </c:pt>
                <c:pt idx="19">
                  <c:v>5.2828311468866027E-3</c:v>
                </c:pt>
                <c:pt idx="20">
                  <c:v>6.6146621370326356E-3</c:v>
                </c:pt>
                <c:pt idx="21">
                  <c:v>7.5658818971954542E-3</c:v>
                </c:pt>
                <c:pt idx="22">
                  <c:v>8.7136410906364578E-3</c:v>
                </c:pt>
                <c:pt idx="23">
                  <c:v>9.9050826109777033E-3</c:v>
                </c:pt>
                <c:pt idx="24">
                  <c:v>1.1491755912888223E-2</c:v>
                </c:pt>
                <c:pt idx="25">
                  <c:v>1.293570296869054E-2</c:v>
                </c:pt>
                <c:pt idx="26">
                  <c:v>1.472126136227442E-2</c:v>
                </c:pt>
                <c:pt idx="27">
                  <c:v>1.6883605659544883E-2</c:v>
                </c:pt>
                <c:pt idx="28">
                  <c:v>1.7647598515499806E-2</c:v>
                </c:pt>
                <c:pt idx="29">
                  <c:v>2.1866008957488033E-2</c:v>
                </c:pt>
                <c:pt idx="30">
                  <c:v>2.3933248136741987E-2</c:v>
                </c:pt>
                <c:pt idx="31">
                  <c:v>2.7704933722803186E-2</c:v>
                </c:pt>
                <c:pt idx="32">
                  <c:v>3.0704911793988515E-2</c:v>
                </c:pt>
                <c:pt idx="33">
                  <c:v>3.421036992066747E-2</c:v>
                </c:pt>
                <c:pt idx="34">
                  <c:v>3.4739843341921331E-2</c:v>
                </c:pt>
                <c:pt idx="35">
                  <c:v>4.3173153556409459E-2</c:v>
                </c:pt>
                <c:pt idx="36">
                  <c:v>4.7343477823734943E-2</c:v>
                </c:pt>
                <c:pt idx="37">
                  <c:v>5.3136849414121133E-2</c:v>
                </c:pt>
                <c:pt idx="38">
                  <c:v>5.9051647199273652E-2</c:v>
                </c:pt>
                <c:pt idx="39">
                  <c:v>6.476512587635859E-2</c:v>
                </c:pt>
                <c:pt idx="40">
                  <c:v>7.2637866388777506E-2</c:v>
                </c:pt>
                <c:pt idx="41">
                  <c:v>7.9056262505350958E-2</c:v>
                </c:pt>
                <c:pt idx="42">
                  <c:v>8.1274829935093829E-2</c:v>
                </c:pt>
                <c:pt idx="43">
                  <c:v>9.7524858762819494E-2</c:v>
                </c:pt>
                <c:pt idx="44">
                  <c:v>0.10328635134812644</c:v>
                </c:pt>
                <c:pt idx="45">
                  <c:v>0.12188648877982626</c:v>
                </c:pt>
                <c:pt idx="46">
                  <c:v>0.13751138680582239</c:v>
                </c:pt>
                <c:pt idx="47">
                  <c:v>0.15189234792016698</c:v>
                </c:pt>
                <c:pt idx="48">
                  <c:v>0.16951820503696141</c:v>
                </c:pt>
                <c:pt idx="49">
                  <c:v>0.19092844149672297</c:v>
                </c:pt>
                <c:pt idx="50">
                  <c:v>0.21311186663425871</c:v>
                </c:pt>
                <c:pt idx="51">
                  <c:v>0.2407348107879691</c:v>
                </c:pt>
                <c:pt idx="52">
                  <c:v>0.27207595606036777</c:v>
                </c:pt>
                <c:pt idx="53">
                  <c:v>0.30802918065074419</c:v>
                </c:pt>
                <c:pt idx="54">
                  <c:v>0.35493644063524227</c:v>
                </c:pt>
                <c:pt idx="55">
                  <c:v>0.41364173031825191</c:v>
                </c:pt>
                <c:pt idx="56">
                  <c:v>0.50148917674580218</c:v>
                </c:pt>
                <c:pt idx="57">
                  <c:v>0.62280213284259556</c:v>
                </c:pt>
                <c:pt idx="58">
                  <c:v>0.78277435489852609</c:v>
                </c:pt>
                <c:pt idx="59">
                  <c:v>1.0266805212903669</c:v>
                </c:pt>
              </c:numCache>
            </c:numRef>
          </c:yVal>
          <c:smooth val="1"/>
          <c:extLst>
            <c:ext xmlns:c16="http://schemas.microsoft.com/office/drawing/2014/chart" uri="{C3380CC4-5D6E-409C-BE32-E72D297353CC}">
              <c16:uniqueId val="{00000002-E41E-423C-B3D9-ECBF67A62D03}"/>
            </c:ext>
          </c:extLst>
        </c:ser>
        <c:ser>
          <c:idx val="2"/>
          <c:order val="3"/>
          <c:tx>
            <c:strRef>
              <c:f>'ReBCO (2nd Gen.)'!$B$22:$B$34</c:f>
              <c:strCache>
                <c:ptCount val="1"/>
                <c:pt idx="0">
                  <c:v>Ext-Norris_thin-162-0,14-21</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'ReBCO (2nd Gen.)'!$H$22:$X$22</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210</c:v>
                </c:pt>
              </c:numCache>
            </c:numRef>
          </c:xVal>
          <c:yVal>
            <c:numRef>
              <c:f>'ReBCO (2nd Gen.)'!$H$34:$X$34</c:f>
              <c:numCache>
                <c:formatCode>0.00E+00</c:formatCode>
                <c:ptCount val="17"/>
                <c:pt idx="0">
                  <c:v>8.3535825086711291E-4</c:v>
                </c:pt>
                <c:pt idx="1">
                  <c:v>1.7738140326292438E-3</c:v>
                </c:pt>
                <c:pt idx="2">
                  <c:v>3.3836495122719049E-3</c:v>
                </c:pt>
                <c:pt idx="3">
                  <c:v>5.9807025770161415E-3</c:v>
                </c:pt>
                <c:pt idx="4">
                  <c:v>9.9984658653818285E-3</c:v>
                </c:pt>
                <c:pt idx="5">
                  <c:v>1.6046436813994737E-2</c:v>
                </c:pt>
                <c:pt idx="6">
                  <c:v>2.501703688894635E-2</c:v>
                </c:pt>
                <c:pt idx="7">
                  <c:v>3.8304519360080655E-2</c:v>
                </c:pt>
                <c:pt idx="8">
                  <c:v>5.8335707806351798E-2</c:v>
                </c:pt>
                <c:pt idx="9">
                  <c:v>9.0256940374338221E-2</c:v>
                </c:pt>
                <c:pt idx="10">
                  <c:v>0.15180661052367386</c:v>
                </c:pt>
                <c:pt idx="11">
                  <c:v>0.18183117428590134</c:v>
                </c:pt>
                <c:pt idx="12">
                  <c:v>0.21211770704080413</c:v>
                </c:pt>
                <c:pt idx="13">
                  <c:v>0.3319613312976144</c:v>
                </c:pt>
                <c:pt idx="14">
                  <c:v>0.75789092334026065</c:v>
                </c:pt>
                <c:pt idx="15">
                  <c:v>2.1726324730271465</c:v>
                </c:pt>
                <c:pt idx="16">
                  <c:v>6.6123629415763645</c:v>
                </c:pt>
              </c:numCache>
            </c:numRef>
          </c:yVal>
          <c:smooth val="1"/>
          <c:extLst>
            <c:ext xmlns:c16="http://schemas.microsoft.com/office/drawing/2014/chart" uri="{C3380CC4-5D6E-409C-BE32-E72D297353CC}">
              <c16:uniqueId val="{00000003-E41E-423C-B3D9-ECBF67A62D03}"/>
            </c:ext>
          </c:extLst>
        </c:ser>
        <c:ser>
          <c:idx val="3"/>
          <c:order val="4"/>
          <c:tx>
            <c:strRef>
              <c:f>'ReBCO (2nd Gen.)'!$B$51</c:f>
              <c:strCache>
                <c:ptCount val="1"/>
                <c:pt idx="0">
                  <c:v>FEA157_0,14_19</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'ReBCO (2nd Gen.)'!$G$49:$W$49</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210</c:v>
                </c:pt>
              </c:numCache>
            </c:numRef>
          </c:xVal>
          <c:yVal>
            <c:numRef>
              <c:f>'ReBCO (2nd Gen.)'!$G$51:$W$51</c:f>
              <c:numCache>
                <c:formatCode>General</c:formatCode>
                <c:ptCount val="17"/>
                <c:pt idx="0">
                  <c:v>1.36733702030526E-3</c:v>
                </c:pt>
                <c:pt idx="1">
                  <c:v>2.6733429297821801E-3</c:v>
                </c:pt>
                <c:pt idx="2">
                  <c:v>4.9461320823111603E-3</c:v>
                </c:pt>
                <c:pt idx="3">
                  <c:v>8.2938676492393306E-3</c:v>
                </c:pt>
                <c:pt idx="4">
                  <c:v>1.33755971949738E-2</c:v>
                </c:pt>
                <c:pt idx="5">
                  <c:v>2.0773262833768E-2</c:v>
                </c:pt>
                <c:pt idx="6">
                  <c:v>3.1049491733616399E-2</c:v>
                </c:pt>
                <c:pt idx="7">
                  <c:v>4.5502972344465202E-2</c:v>
                </c:pt>
                <c:pt idx="8">
                  <c:v>6.5596107369933404E-2</c:v>
                </c:pt>
                <c:pt idx="9">
                  <c:v>9.3731637635857998E-2</c:v>
                </c:pt>
                <c:pt idx="10">
                  <c:v>0.13219483160298401</c:v>
                </c:pt>
                <c:pt idx="11">
                  <c:v>0.188967329380409</c:v>
                </c:pt>
                <c:pt idx="12">
                  <c:v>0.27508186395187201</c:v>
                </c:pt>
                <c:pt idx="13">
                  <c:v>0.45102549751385601</c:v>
                </c:pt>
                <c:pt idx="14">
                  <c:v>0.979522177530323</c:v>
                </c:pt>
                <c:pt idx="15">
                  <c:v>2.5459095204088298</c:v>
                </c:pt>
                <c:pt idx="16">
                  <c:v>6.98653196644202</c:v>
                </c:pt>
              </c:numCache>
            </c:numRef>
          </c:yVal>
          <c:smooth val="1"/>
          <c:extLst>
            <c:ext xmlns:c16="http://schemas.microsoft.com/office/drawing/2014/chart" uri="{C3380CC4-5D6E-409C-BE32-E72D297353CC}">
              <c16:uniqueId val="{00000004-E41E-423C-B3D9-ECBF67A62D03}"/>
            </c:ext>
          </c:extLst>
        </c:ser>
        <c:dLbls>
          <c:showLegendKey val="0"/>
          <c:showVal val="0"/>
          <c:showCatName val="0"/>
          <c:showSerName val="0"/>
          <c:showPercent val="0"/>
          <c:showBubbleSize val="0"/>
        </c:dLbls>
        <c:axId val="827869904"/>
        <c:axId val="827866576"/>
        <c:extLst/>
      </c:scatterChart>
      <c:valAx>
        <c:axId val="82786990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a:t>I [A] peak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PT"/>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827866576"/>
        <c:crosses val="autoZero"/>
        <c:crossBetween val="midCat"/>
      </c:valAx>
      <c:valAx>
        <c:axId val="827866576"/>
        <c:scaling>
          <c:logBase val="10"/>
          <c:orientation val="minMax"/>
          <c:max val="100"/>
          <c:min val="1.0000000000000003E-4"/>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PT"/>
                  <a:t>P [W/m]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PT"/>
            </a:p>
          </c:txPr>
        </c:title>
        <c:numFmt formatCode="0.00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827869904"/>
        <c:crosses val="autoZero"/>
        <c:crossBetween val="midCat"/>
        <c:maj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609096</xdr:colOff>
      <xdr:row>53</xdr:row>
      <xdr:rowOff>46012</xdr:rowOff>
    </xdr:from>
    <xdr:to>
      <xdr:col>20</xdr:col>
      <xdr:colOff>200710</xdr:colOff>
      <xdr:row>81</xdr:row>
      <xdr:rowOff>497</xdr:rowOff>
    </xdr:to>
    <xdr:graphicFrame macro="">
      <xdr:nvGraphicFramePr>
        <xdr:cNvPr id="3" name="Gráfico 2">
          <a:extLst>
            <a:ext uri="{FF2B5EF4-FFF2-40B4-BE49-F238E27FC236}">
              <a16:creationId xmlns:a16="http://schemas.microsoft.com/office/drawing/2014/main" id="{3A3C593C-C6A4-4A94-A376-B3BD91199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153558</xdr:colOff>
      <xdr:row>53</xdr:row>
      <xdr:rowOff>35604</xdr:rowOff>
    </xdr:from>
    <xdr:to>
      <xdr:col>18</xdr:col>
      <xdr:colOff>179294</xdr:colOff>
      <xdr:row>80</xdr:row>
      <xdr:rowOff>108116</xdr:rowOff>
    </xdr:to>
    <xdr:graphicFrame macro="">
      <xdr:nvGraphicFramePr>
        <xdr:cNvPr id="2" name="Gráfico 1">
          <a:extLst>
            <a:ext uri="{FF2B5EF4-FFF2-40B4-BE49-F238E27FC236}">
              <a16:creationId xmlns:a16="http://schemas.microsoft.com/office/drawing/2014/main" id="{D263DC92-399F-4D0D-B2BA-2230C64247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0123-7147-4CA0-8DAE-7CD2FDD6DFF4}">
  <dimension ref="A2:K34"/>
  <sheetViews>
    <sheetView tabSelected="1" view="pageLayout" zoomScale="145" zoomScaleNormal="130" zoomScalePageLayoutView="145" workbookViewId="0">
      <selection activeCell="B18" sqref="B18"/>
    </sheetView>
  </sheetViews>
  <sheetFormatPr defaultRowHeight="14.4" x14ac:dyDescent="0.3"/>
  <cols>
    <col min="9" max="9" width="15.5546875" customWidth="1"/>
  </cols>
  <sheetData>
    <row r="2" spans="1:11" x14ac:dyDescent="0.3">
      <c r="A2" s="55" t="s">
        <v>89</v>
      </c>
      <c r="B2" s="55"/>
      <c r="C2" s="55"/>
      <c r="D2" s="55"/>
      <c r="E2" s="55"/>
      <c r="F2" s="55"/>
      <c r="G2" s="55"/>
      <c r="H2" s="55"/>
      <c r="I2" s="55"/>
    </row>
    <row r="3" spans="1:11" ht="14.25" customHeight="1" x14ac:dyDescent="0.3">
      <c r="A3" s="61" t="s">
        <v>87</v>
      </c>
      <c r="B3" s="61"/>
      <c r="C3" s="61"/>
      <c r="D3" s="61"/>
      <c r="E3" s="61"/>
      <c r="F3" s="61"/>
      <c r="G3" s="61"/>
      <c r="H3" s="61"/>
      <c r="I3" s="61"/>
    </row>
    <row r="4" spans="1:11" x14ac:dyDescent="0.3">
      <c r="A4" s="61"/>
      <c r="B4" s="61"/>
      <c r="C4" s="61"/>
      <c r="D4" s="61"/>
      <c r="E4" s="61"/>
      <c r="F4" s="61"/>
      <c r="G4" s="61"/>
      <c r="H4" s="61"/>
      <c r="I4" s="61"/>
    </row>
    <row r="5" spans="1:11" x14ac:dyDescent="0.3">
      <c r="A5" s="61"/>
      <c r="B5" s="61"/>
      <c r="C5" s="61"/>
      <c r="D5" s="61"/>
      <c r="E5" s="61"/>
      <c r="F5" s="61"/>
      <c r="G5" s="61"/>
      <c r="H5" s="61"/>
      <c r="I5" s="61"/>
    </row>
    <row r="6" spans="1:11" x14ac:dyDescent="0.3">
      <c r="A6" s="55"/>
      <c r="B6" s="56"/>
      <c r="C6" s="56"/>
      <c r="D6" s="56"/>
      <c r="E6" s="56"/>
      <c r="F6" s="56"/>
      <c r="G6" s="56"/>
      <c r="H6" s="56"/>
      <c r="I6" s="56"/>
      <c r="J6" s="54"/>
      <c r="K6" s="54"/>
    </row>
    <row r="7" spans="1:11" ht="14.25" customHeight="1" x14ac:dyDescent="0.3">
      <c r="A7" s="58" t="s">
        <v>85</v>
      </c>
      <c r="B7" s="58"/>
      <c r="C7" s="58"/>
      <c r="D7" s="58"/>
      <c r="E7" s="58"/>
      <c r="F7" s="58"/>
      <c r="G7" s="58"/>
      <c r="H7" s="58"/>
      <c r="I7" s="58"/>
      <c r="J7" s="54"/>
      <c r="K7" s="54"/>
    </row>
    <row r="8" spans="1:11" x14ac:dyDescent="0.3">
      <c r="A8" s="58"/>
      <c r="B8" s="58"/>
      <c r="C8" s="58"/>
      <c r="D8" s="58"/>
      <c r="E8" s="58"/>
      <c r="F8" s="58"/>
      <c r="G8" s="58"/>
      <c r="H8" s="58"/>
      <c r="I8" s="58"/>
      <c r="J8" s="54"/>
      <c r="K8" s="54"/>
    </row>
    <row r="9" spans="1:11" ht="18.75" customHeight="1" x14ac:dyDescent="0.3">
      <c r="A9" s="58"/>
      <c r="B9" s="58"/>
      <c r="C9" s="58"/>
      <c r="D9" s="58"/>
      <c r="E9" s="58"/>
      <c r="F9" s="58"/>
      <c r="G9" s="58"/>
      <c r="H9" s="58"/>
      <c r="I9" s="58"/>
      <c r="J9" s="54"/>
      <c r="K9" s="54"/>
    </row>
    <row r="10" spans="1:11" x14ac:dyDescent="0.3">
      <c r="A10" s="58"/>
      <c r="B10" s="58"/>
      <c r="C10" s="58"/>
      <c r="D10" s="58"/>
      <c r="E10" s="58"/>
      <c r="F10" s="58"/>
      <c r="G10" s="58"/>
      <c r="H10" s="58"/>
      <c r="I10" s="58"/>
    </row>
    <row r="11" spans="1:11" ht="18.75" customHeight="1" x14ac:dyDescent="0.3">
      <c r="A11" s="58" t="s">
        <v>84</v>
      </c>
      <c r="B11" s="58"/>
      <c r="C11" s="58"/>
      <c r="D11" s="58"/>
      <c r="E11" s="58"/>
      <c r="F11" s="58"/>
      <c r="G11" s="58"/>
      <c r="H11" s="58"/>
      <c r="I11" s="58"/>
      <c r="J11" s="54"/>
      <c r="K11" s="54"/>
    </row>
    <row r="12" spans="1:11" ht="18.75" customHeight="1" x14ac:dyDescent="0.3">
      <c r="A12" s="58"/>
      <c r="B12" s="58"/>
      <c r="C12" s="58"/>
      <c r="D12" s="58"/>
      <c r="E12" s="58"/>
      <c r="F12" s="58"/>
      <c r="G12" s="58"/>
      <c r="H12" s="58"/>
      <c r="I12" s="58"/>
      <c r="J12" s="54"/>
      <c r="K12" s="54"/>
    </row>
    <row r="13" spans="1:11" ht="33" customHeight="1" x14ac:dyDescent="0.3">
      <c r="A13" s="58" t="s">
        <v>86</v>
      </c>
      <c r="B13" s="58"/>
      <c r="C13" s="58"/>
      <c r="D13" s="58"/>
      <c r="E13" s="58"/>
      <c r="F13" s="58"/>
      <c r="G13" s="58"/>
      <c r="H13" s="58"/>
      <c r="I13" s="58"/>
    </row>
    <row r="14" spans="1:11" x14ac:dyDescent="0.3">
      <c r="A14" s="57"/>
      <c r="B14" s="57"/>
      <c r="C14" s="57"/>
      <c r="D14" s="57"/>
      <c r="E14" s="57"/>
      <c r="F14" s="57"/>
      <c r="G14" s="57"/>
      <c r="H14" s="57"/>
      <c r="I14" s="57"/>
    </row>
    <row r="15" spans="1:11" x14ac:dyDescent="0.3">
      <c r="A15" s="59" t="s">
        <v>88</v>
      </c>
      <c r="B15" s="59"/>
      <c r="C15" s="59"/>
      <c r="D15" s="59"/>
      <c r="E15" s="59"/>
      <c r="F15" s="59"/>
      <c r="G15" s="59"/>
      <c r="H15" s="59"/>
      <c r="I15" s="59"/>
    </row>
    <row r="16" spans="1:11" ht="27.45" customHeight="1" x14ac:dyDescent="0.3">
      <c r="A16" s="59"/>
      <c r="B16" s="59"/>
      <c r="C16" s="59"/>
      <c r="D16" s="59"/>
      <c r="E16" s="59"/>
      <c r="F16" s="59"/>
      <c r="G16" s="59"/>
      <c r="H16" s="59"/>
      <c r="I16" s="59"/>
    </row>
    <row r="17" spans="1:11" x14ac:dyDescent="0.3">
      <c r="A17" s="57"/>
      <c r="B17" s="57"/>
      <c r="C17" s="57"/>
      <c r="D17" s="57"/>
      <c r="E17" s="57"/>
      <c r="F17" s="57"/>
      <c r="G17" s="57"/>
      <c r="H17" s="57"/>
      <c r="I17" s="57"/>
    </row>
    <row r="18" spans="1:11" x14ac:dyDescent="0.3">
      <c r="A18" s="55" t="s">
        <v>83</v>
      </c>
      <c r="B18" s="56"/>
      <c r="C18" s="56"/>
      <c r="D18" s="56"/>
      <c r="E18" s="56"/>
      <c r="F18" s="56"/>
      <c r="G18" s="56"/>
      <c r="H18" s="56"/>
      <c r="I18" s="56"/>
      <c r="J18" s="54"/>
      <c r="K18" s="54"/>
    </row>
    <row r="19" spans="1:11" ht="14.25" customHeight="1" x14ac:dyDescent="0.3">
      <c r="A19" s="60" t="s">
        <v>82</v>
      </c>
      <c r="B19" s="60"/>
      <c r="C19" s="60"/>
      <c r="D19" s="60"/>
      <c r="E19" s="60"/>
      <c r="F19" s="60"/>
      <c r="G19" s="60"/>
      <c r="H19" s="60"/>
      <c r="I19" s="60"/>
    </row>
    <row r="20" spans="1:11" x14ac:dyDescent="0.3">
      <c r="A20" s="60"/>
      <c r="B20" s="60"/>
      <c r="C20" s="60"/>
      <c r="D20" s="60"/>
      <c r="E20" s="60"/>
      <c r="F20" s="60"/>
      <c r="G20" s="60"/>
      <c r="H20" s="60"/>
      <c r="I20" s="60"/>
    </row>
    <row r="21" spans="1:11" x14ac:dyDescent="0.3">
      <c r="A21" s="60"/>
      <c r="B21" s="60"/>
      <c r="C21" s="60"/>
      <c r="D21" s="60"/>
      <c r="E21" s="60"/>
      <c r="F21" s="60"/>
      <c r="G21" s="60"/>
      <c r="H21" s="60"/>
      <c r="I21" s="60"/>
    </row>
    <row r="22" spans="1:11" x14ac:dyDescent="0.3">
      <c r="A22" s="60"/>
      <c r="B22" s="60"/>
      <c r="C22" s="60"/>
      <c r="D22" s="60"/>
      <c r="E22" s="60"/>
      <c r="F22" s="60"/>
      <c r="G22" s="60"/>
      <c r="H22" s="60"/>
      <c r="I22" s="60"/>
    </row>
    <row r="23" spans="1:11" x14ac:dyDescent="0.3">
      <c r="A23" s="60"/>
      <c r="B23" s="60"/>
      <c r="C23" s="60"/>
      <c r="D23" s="60"/>
      <c r="E23" s="60"/>
      <c r="F23" s="60"/>
      <c r="G23" s="60"/>
      <c r="H23" s="60"/>
      <c r="I23" s="60"/>
    </row>
    <row r="24" spans="1:11" x14ac:dyDescent="0.3">
      <c r="A24" s="60"/>
      <c r="B24" s="60"/>
      <c r="C24" s="60"/>
      <c r="D24" s="60"/>
      <c r="E24" s="60"/>
      <c r="F24" s="60"/>
      <c r="G24" s="60"/>
      <c r="H24" s="60"/>
      <c r="I24" s="60"/>
    </row>
    <row r="25" spans="1:11" x14ac:dyDescent="0.3">
      <c r="A25" s="60"/>
      <c r="B25" s="60"/>
      <c r="C25" s="60"/>
      <c r="D25" s="60"/>
      <c r="E25" s="60"/>
      <c r="F25" s="60"/>
      <c r="G25" s="60"/>
      <c r="H25" s="60"/>
      <c r="I25" s="60"/>
    </row>
    <row r="26" spans="1:11" x14ac:dyDescent="0.3">
      <c r="A26" s="60"/>
      <c r="B26" s="60"/>
      <c r="C26" s="60"/>
      <c r="D26" s="60"/>
      <c r="E26" s="60"/>
      <c r="F26" s="60"/>
      <c r="G26" s="60"/>
      <c r="H26" s="60"/>
      <c r="I26" s="60"/>
    </row>
    <row r="27" spans="1:11" x14ac:dyDescent="0.3">
      <c r="A27" s="60"/>
      <c r="B27" s="60"/>
      <c r="C27" s="60"/>
      <c r="D27" s="60"/>
      <c r="E27" s="60"/>
      <c r="F27" s="60"/>
      <c r="G27" s="60"/>
      <c r="H27" s="60"/>
      <c r="I27" s="60"/>
    </row>
    <row r="28" spans="1:11" x14ac:dyDescent="0.3">
      <c r="A28" s="60"/>
      <c r="B28" s="60"/>
      <c r="C28" s="60"/>
      <c r="D28" s="60"/>
      <c r="E28" s="60"/>
      <c r="F28" s="60"/>
      <c r="G28" s="60"/>
      <c r="H28" s="60"/>
      <c r="I28" s="60"/>
    </row>
    <row r="29" spans="1:11" x14ac:dyDescent="0.3">
      <c r="A29" s="60"/>
      <c r="B29" s="60"/>
      <c r="C29" s="60"/>
      <c r="D29" s="60"/>
      <c r="E29" s="60"/>
      <c r="F29" s="60"/>
      <c r="G29" s="60"/>
      <c r="H29" s="60"/>
      <c r="I29" s="60"/>
    </row>
    <row r="30" spans="1:11" x14ac:dyDescent="0.3">
      <c r="A30" s="60"/>
      <c r="B30" s="60"/>
      <c r="C30" s="60"/>
      <c r="D30" s="60"/>
      <c r="E30" s="60"/>
      <c r="F30" s="60"/>
      <c r="G30" s="60"/>
      <c r="H30" s="60"/>
      <c r="I30" s="60"/>
    </row>
    <row r="31" spans="1:11" x14ac:dyDescent="0.3">
      <c r="A31" s="60"/>
      <c r="B31" s="60"/>
      <c r="C31" s="60"/>
      <c r="D31" s="60"/>
      <c r="E31" s="60"/>
      <c r="F31" s="60"/>
      <c r="G31" s="60"/>
      <c r="H31" s="60"/>
      <c r="I31" s="60"/>
    </row>
    <row r="32" spans="1:11" x14ac:dyDescent="0.3">
      <c r="A32" s="60"/>
      <c r="B32" s="60"/>
      <c r="C32" s="60"/>
      <c r="D32" s="60"/>
      <c r="E32" s="60"/>
      <c r="F32" s="60"/>
      <c r="G32" s="60"/>
      <c r="H32" s="60"/>
      <c r="I32" s="60"/>
    </row>
    <row r="33" spans="1:9" ht="12" customHeight="1" x14ac:dyDescent="0.3">
      <c r="A33" s="60"/>
      <c r="B33" s="60"/>
      <c r="C33" s="60"/>
      <c r="D33" s="60"/>
      <c r="E33" s="60"/>
      <c r="F33" s="60"/>
      <c r="G33" s="60"/>
      <c r="H33" s="60"/>
      <c r="I33" s="60"/>
    </row>
    <row r="34" spans="1:9" x14ac:dyDescent="0.3">
      <c r="A34" s="53"/>
      <c r="B34" s="53"/>
      <c r="C34" s="53"/>
      <c r="D34" s="53"/>
      <c r="E34" s="53"/>
      <c r="F34" s="53"/>
      <c r="G34" s="53"/>
      <c r="H34" s="53"/>
      <c r="I34" s="53"/>
    </row>
  </sheetData>
  <mergeCells count="6">
    <mergeCell ref="A7:I10"/>
    <mergeCell ref="A13:I13"/>
    <mergeCell ref="A15:I16"/>
    <mergeCell ref="A19:I33"/>
    <mergeCell ref="A3:I5"/>
    <mergeCell ref="A11:I12"/>
  </mergeCells>
  <pageMargins left="0.7" right="0.7" top="0.75" bottom="0.75" header="0.3" footer="0.3"/>
  <pageSetup paperSize="9" orientation="portrait" r:id="rId1"/>
  <headerFooter>
    <oddHeader>&amp;CAlternative Analytical Models for HTS Tapes Considering their AC Hysteretic and Resistive Losses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1BCF-6035-4693-B866-9520336CA382}">
  <dimension ref="B1:EG52"/>
  <sheetViews>
    <sheetView zoomScaleNormal="100" workbookViewId="0">
      <selection activeCell="B10" sqref="B10"/>
    </sheetView>
  </sheetViews>
  <sheetFormatPr defaultRowHeight="14.4" x14ac:dyDescent="0.3"/>
  <cols>
    <col min="1" max="1" width="17" customWidth="1"/>
    <col min="2" max="3" width="12.33203125" customWidth="1"/>
    <col min="5" max="5" width="9.6640625" bestFit="1" customWidth="1"/>
    <col min="6" max="6" width="10.109375" customWidth="1"/>
    <col min="7" max="7" width="16" customWidth="1"/>
    <col min="8" max="8" width="9.21875" customWidth="1"/>
    <col min="9" max="9" width="9.44140625" customWidth="1"/>
    <col min="12" max="12" width="10.5546875" customWidth="1"/>
  </cols>
  <sheetData>
    <row r="1" spans="3:14" x14ac:dyDescent="0.3">
      <c r="D1" s="21"/>
    </row>
    <row r="2" spans="3:14" x14ac:dyDescent="0.3">
      <c r="C2" s="39"/>
      <c r="D2" t="s">
        <v>67</v>
      </c>
    </row>
    <row r="3" spans="3:14" x14ac:dyDescent="0.3">
      <c r="D3" s="21"/>
    </row>
    <row r="4" spans="3:14" x14ac:dyDescent="0.3">
      <c r="D4" s="21"/>
    </row>
    <row r="5" spans="3:14" x14ac:dyDescent="0.3">
      <c r="D5" s="81" t="s">
        <v>68</v>
      </c>
      <c r="E5" s="81"/>
      <c r="F5" s="81"/>
      <c r="K5" s="62" t="s">
        <v>64</v>
      </c>
      <c r="L5" s="62"/>
      <c r="M5" s="62"/>
    </row>
    <row r="6" spans="3:14" ht="15.6" x14ac:dyDescent="0.3">
      <c r="C6" s="52" t="s">
        <v>73</v>
      </c>
      <c r="D6" s="82" t="s">
        <v>48</v>
      </c>
      <c r="E6" s="82"/>
      <c r="F6" s="41">
        <v>175</v>
      </c>
      <c r="G6" s="32" t="s">
        <v>25</v>
      </c>
      <c r="I6" s="6"/>
      <c r="K6" s="23" t="s">
        <v>65</v>
      </c>
      <c r="L6" s="38">
        <v>50</v>
      </c>
      <c r="M6" s="23" t="s">
        <v>66</v>
      </c>
    </row>
    <row r="7" spans="3:14" ht="15.6" x14ac:dyDescent="0.3">
      <c r="C7" s="52" t="s">
        <v>76</v>
      </c>
      <c r="D7" s="82" t="s">
        <v>49</v>
      </c>
      <c r="E7" s="82"/>
      <c r="F7" s="50">
        <f>F6/L11</f>
        <v>530516476.97298443</v>
      </c>
      <c r="G7" s="32" t="s">
        <v>27</v>
      </c>
      <c r="J7" s="6"/>
    </row>
    <row r="8" spans="3:14" ht="15.6" x14ac:dyDescent="0.3">
      <c r="C8" s="52" t="s">
        <v>78</v>
      </c>
      <c r="D8" s="82" t="s">
        <v>50</v>
      </c>
      <c r="E8" s="82"/>
      <c r="F8" s="42">
        <v>0.14000000000000001</v>
      </c>
      <c r="G8" s="32" t="s">
        <v>28</v>
      </c>
      <c r="K8" s="69" t="s">
        <v>46</v>
      </c>
      <c r="L8" s="70"/>
      <c r="M8" s="71"/>
    </row>
    <row r="9" spans="3:14" ht="15.6" x14ac:dyDescent="0.3">
      <c r="C9" s="52" t="s">
        <v>74</v>
      </c>
      <c r="D9" s="83" t="s">
        <v>36</v>
      </c>
      <c r="E9" s="83"/>
      <c r="F9" s="43">
        <f>L9*2</f>
        <v>3.5000000000000001E-3</v>
      </c>
      <c r="G9" s="32" t="s">
        <v>14</v>
      </c>
      <c r="K9" s="32" t="s">
        <v>17</v>
      </c>
      <c r="L9" s="40">
        <v>1.75E-3</v>
      </c>
      <c r="M9" s="32" t="s">
        <v>14</v>
      </c>
      <c r="N9" t="s">
        <v>51</v>
      </c>
    </row>
    <row r="10" spans="3:14" ht="15.6" x14ac:dyDescent="0.3">
      <c r="C10" s="52" t="s">
        <v>75</v>
      </c>
      <c r="D10" s="83" t="s">
        <v>37</v>
      </c>
      <c r="E10" s="83"/>
      <c r="F10" s="43">
        <f>L10*2</f>
        <v>1.2E-4</v>
      </c>
      <c r="G10" s="32" t="s">
        <v>14</v>
      </c>
      <c r="K10" s="32" t="s">
        <v>18</v>
      </c>
      <c r="L10" s="40">
        <v>6.0000000000000002E-5</v>
      </c>
      <c r="M10" s="32" t="s">
        <v>14</v>
      </c>
      <c r="N10" t="s">
        <v>52</v>
      </c>
    </row>
    <row r="11" spans="3:14" ht="15.6" x14ac:dyDescent="0.3">
      <c r="K11" s="32" t="s">
        <v>19</v>
      </c>
      <c r="L11" s="50">
        <f>PI()*L9*L10</f>
        <v>3.2986722862692829E-7</v>
      </c>
      <c r="M11" s="32" t="s">
        <v>20</v>
      </c>
      <c r="N11" s="31" t="s">
        <v>53</v>
      </c>
    </row>
    <row r="12" spans="3:14" ht="15.6" x14ac:dyDescent="0.3">
      <c r="D12" s="34"/>
      <c r="K12" s="33" t="s">
        <v>44</v>
      </c>
      <c r="L12" s="51">
        <v>3.4299999999999997E-2</v>
      </c>
      <c r="M12" s="32"/>
      <c r="N12" t="s">
        <v>54</v>
      </c>
    </row>
    <row r="13" spans="3:14" x14ac:dyDescent="0.3">
      <c r="C13" s="46" t="s">
        <v>81</v>
      </c>
      <c r="D13" s="79" t="s">
        <v>71</v>
      </c>
      <c r="E13" s="79"/>
      <c r="F13" s="39">
        <v>0</v>
      </c>
      <c r="G13" s="5" t="s">
        <v>72</v>
      </c>
    </row>
    <row r="14" spans="3:14" ht="15.6" x14ac:dyDescent="0.3">
      <c r="D14" s="34"/>
      <c r="K14" s="48"/>
      <c r="M14" s="49"/>
    </row>
    <row r="17" spans="2:137" x14ac:dyDescent="0.3">
      <c r="B17" s="1" t="s">
        <v>63</v>
      </c>
      <c r="C17" s="1"/>
    </row>
    <row r="18" spans="2:137" x14ac:dyDescent="0.3">
      <c r="B18" s="2" t="s">
        <v>7</v>
      </c>
      <c r="C18" s="29">
        <v>3.153696244092</v>
      </c>
      <c r="D18" s="29">
        <v>6.4770981156687801</v>
      </c>
      <c r="E18" s="29">
        <v>9.8146421228692802</v>
      </c>
      <c r="F18" s="29">
        <v>13.152186130069801</v>
      </c>
      <c r="G18" s="29">
        <v>16.4614458660228</v>
      </c>
      <c r="H18" s="29">
        <v>19.813132008847099</v>
      </c>
      <c r="I18" s="29">
        <v>23.136533880423801</v>
      </c>
      <c r="J18" s="29">
        <v>26.4882200232481</v>
      </c>
      <c r="K18" s="29">
        <v>29.8399061660723</v>
      </c>
      <c r="L18" s="29">
        <v>33.177450173272803</v>
      </c>
      <c r="M18" s="29">
        <v>34.025978310696701</v>
      </c>
      <c r="N18" s="29">
        <v>36.486709909225901</v>
      </c>
      <c r="O18" s="29">
        <v>37.434232996015801</v>
      </c>
      <c r="P18" s="29">
        <v>39.7676853739314</v>
      </c>
      <c r="Q18" s="29">
        <v>40.870771952582402</v>
      </c>
      <c r="R18" s="29">
        <v>43.2042243304981</v>
      </c>
      <c r="S18" s="29">
        <v>44.264884502277901</v>
      </c>
      <c r="T18" s="29">
        <v>46.541768337698599</v>
      </c>
      <c r="U18" s="29">
        <v>47.701423458844502</v>
      </c>
      <c r="V18" s="29">
        <v>49.893454480522799</v>
      </c>
      <c r="W18" s="29">
        <v>51.123820279787402</v>
      </c>
      <c r="X18" s="29">
        <v>53.117861402733503</v>
      </c>
      <c r="Y18" s="29">
        <v>54.517932829482803</v>
      </c>
      <c r="Z18" s="29">
        <v>55.861435713737301</v>
      </c>
      <c r="AA18" s="29">
        <v>57.2756492761104</v>
      </c>
      <c r="AB18" s="29">
        <v>59.255548263432701</v>
      </c>
      <c r="AC18" s="29">
        <v>60.6697618258058</v>
      </c>
      <c r="AD18" s="29">
        <v>62.508239456890799</v>
      </c>
      <c r="AE18" s="29">
        <v>64.0638743755012</v>
      </c>
      <c r="AF18" s="29">
        <v>65.619509294111594</v>
      </c>
      <c r="AG18" s="29">
        <v>67.457986925196593</v>
      </c>
      <c r="AH18" s="29">
        <v>68.8722004875697</v>
      </c>
      <c r="AI18" s="29">
        <v>70.8520994748921</v>
      </c>
      <c r="AJ18" s="29">
        <v>72.124891681027904</v>
      </c>
      <c r="AK18" s="29">
        <v>74.246212024587507</v>
      </c>
      <c r="AL18" s="29">
        <v>75.519004230723297</v>
      </c>
      <c r="AM18" s="29">
        <v>77.6403245742829</v>
      </c>
      <c r="AN18" s="29">
        <v>78.771695424181402</v>
      </c>
      <c r="AO18" s="29">
        <v>80.893015767741105</v>
      </c>
      <c r="AP18" s="29">
        <v>81.882965261402205</v>
      </c>
      <c r="AQ18" s="29">
        <v>84.287128317436498</v>
      </c>
      <c r="AR18" s="29">
        <v>85.277077811097598</v>
      </c>
      <c r="AS18" s="29">
        <v>87.681240867131905</v>
      </c>
      <c r="AT18" s="29">
        <v>88.671190360793105</v>
      </c>
      <c r="AU18" s="29">
        <v>91.075353416827298</v>
      </c>
      <c r="AV18" s="29">
        <v>91.923881554251196</v>
      </c>
      <c r="AW18" s="29">
        <v>94.328044610285502</v>
      </c>
      <c r="AX18" s="29">
        <v>95.176572747709301</v>
      </c>
      <c r="AY18" s="29">
        <v>97.722157159980895</v>
      </c>
      <c r="AZ18" s="29">
        <v>98.287842584930104</v>
      </c>
      <c r="BA18" s="29">
        <v>101.116269709676</v>
      </c>
      <c r="BB18" s="29">
        <v>101.823376490863</v>
      </c>
      <c r="BC18" s="29">
        <v>104.368960903134</v>
      </c>
      <c r="BD18" s="29">
        <v>105.076067684321</v>
      </c>
      <c r="BE18" s="29">
        <v>107.76307345283</v>
      </c>
      <c r="BF18" s="29">
        <v>108.18733752154201</v>
      </c>
      <c r="BG18" s="29">
        <v>111.01576464628801</v>
      </c>
      <c r="BH18" s="29">
        <v>111.722871427475</v>
      </c>
      <c r="BI18" s="29">
        <v>114.268455839746</v>
      </c>
      <c r="BJ18" s="29">
        <v>114.551298552221</v>
      </c>
      <c r="BK18" s="29">
        <v>117.521147033204</v>
      </c>
      <c r="BL18" s="29">
        <v>118.369675170628</v>
      </c>
      <c r="BM18" s="29">
        <v>120.91525958290001</v>
      </c>
      <c r="BN18" s="29">
        <v>121.62236636408601</v>
      </c>
      <c r="BO18" s="29">
        <v>124.167950776358</v>
      </c>
      <c r="BP18" s="29">
        <v>124.73363620130699</v>
      </c>
      <c r="BQ18" s="29">
        <v>127.420641969816</v>
      </c>
      <c r="BR18" s="29">
        <v>127.84490603852799</v>
      </c>
      <c r="BS18" s="29">
        <v>130.81475451951101</v>
      </c>
      <c r="BT18" s="29">
        <v>131.23901858822299</v>
      </c>
      <c r="BU18" s="29">
        <v>133.926024356732</v>
      </c>
      <c r="BV18" s="29">
        <v>134.49170978168101</v>
      </c>
      <c r="BW18" s="29">
        <v>137.32013690642799</v>
      </c>
      <c r="BX18" s="29">
        <v>137.46155826266499</v>
      </c>
      <c r="BY18" s="29">
        <v>140.43140674364801</v>
      </c>
      <c r="BZ18" s="29">
        <v>140.99709216859799</v>
      </c>
      <c r="CA18" s="29">
        <v>143.684097937106</v>
      </c>
      <c r="CB18" s="29">
        <v>144.24978336205601</v>
      </c>
      <c r="CC18" s="29">
        <v>146.93678913056499</v>
      </c>
      <c r="CD18" s="29">
        <v>147.502474555514</v>
      </c>
      <c r="CE18" s="29">
        <v>150.18948032402301</v>
      </c>
      <c r="CF18" s="29">
        <v>150.75516574897199</v>
      </c>
      <c r="CG18" s="29">
        <v>153.300750161244</v>
      </c>
      <c r="CH18" s="29">
        <v>154.00785694243001</v>
      </c>
      <c r="CI18" s="29">
        <v>156.41201999846399</v>
      </c>
      <c r="CJ18" s="29">
        <v>156.69486271093899</v>
      </c>
      <c r="CK18" s="29">
        <v>159.80613254816001</v>
      </c>
      <c r="CL18" s="29">
        <v>160.08897526063399</v>
      </c>
      <c r="CM18" s="29">
        <v>162.917402385381</v>
      </c>
      <c r="CN18" s="29">
        <v>163.341666454093</v>
      </c>
      <c r="CO18" s="29">
        <v>166.17009357883899</v>
      </c>
      <c r="CP18" s="29">
        <v>166.45293629131299</v>
      </c>
      <c r="CQ18" s="29">
        <v>169.56420612853401</v>
      </c>
      <c r="CR18" s="29">
        <v>169.98847019724599</v>
      </c>
      <c r="CS18" s="29">
        <v>173.099740034467</v>
      </c>
      <c r="CT18" s="29">
        <v>173.94826817189099</v>
      </c>
      <c r="CU18" s="29">
        <v>176.21100987168799</v>
      </c>
      <c r="CV18" s="29">
        <v>176.91811665287401</v>
      </c>
      <c r="CW18" s="29">
        <v>179.18085835267101</v>
      </c>
      <c r="CX18" s="29">
        <v>180.170807846332</v>
      </c>
      <c r="CY18" s="29">
        <v>182.009285477417</v>
      </c>
      <c r="CZ18" s="29">
        <v>183.28207768355301</v>
      </c>
      <c r="DA18" s="29">
        <v>185.12055531463801</v>
      </c>
      <c r="DB18" s="29">
        <v>186.676190233249</v>
      </c>
      <c r="DC18" s="29">
        <v>188.231825151859</v>
      </c>
      <c r="DD18" s="29">
        <v>189.787460070469</v>
      </c>
      <c r="DE18" s="29">
        <v>191.34309498907999</v>
      </c>
      <c r="DF18" s="29">
        <v>192.89872990769001</v>
      </c>
      <c r="DG18" s="29">
        <v>194.454364826301</v>
      </c>
      <c r="DH18" s="29">
        <v>196.009999744911</v>
      </c>
      <c r="DI18" s="29">
        <v>198.131320088471</v>
      </c>
      <c r="DJ18" s="28">
        <v>200.53548314450501</v>
      </c>
      <c r="DK18" s="29">
        <v>201.24258992569099</v>
      </c>
      <c r="DL18" s="29">
        <v>204.21243840667501</v>
      </c>
      <c r="DM18" s="29">
        <v>205.06096654409899</v>
      </c>
      <c r="DN18" s="29">
        <v>207.32370824389599</v>
      </c>
      <c r="DO18" s="29">
        <v>210.15213536864201</v>
      </c>
      <c r="DP18" s="29">
        <v>210.15213536864201</v>
      </c>
      <c r="DQ18" s="29">
        <v>213.26340520586299</v>
      </c>
      <c r="DR18" s="29">
        <v>215.80898961813401</v>
      </c>
      <c r="DS18" s="29">
        <v>216.09183233060901</v>
      </c>
      <c r="DT18" s="29">
        <v>219.061680811592</v>
      </c>
      <c r="DU18" s="29">
        <v>221.89010793633901</v>
      </c>
      <c r="DV18" s="29">
        <v>222.03152929257601</v>
      </c>
      <c r="DW18" s="29">
        <v>224.859956417322</v>
      </c>
      <c r="DX18" s="29">
        <v>227.97122625454301</v>
      </c>
      <c r="DY18" s="29">
        <v>233.76950186027301</v>
      </c>
      <c r="DZ18" s="29">
        <v>239.85062017847699</v>
      </c>
      <c r="EA18" s="29">
        <v>245.64889578420701</v>
      </c>
      <c r="EB18" s="29">
        <v>251.44717138993599</v>
      </c>
      <c r="EC18" s="29">
        <v>256.67976157071701</v>
      </c>
      <c r="ED18" s="29">
        <v>261.912351751497</v>
      </c>
      <c r="EE18" s="29">
        <v>267.56920600098999</v>
      </c>
      <c r="EF18" s="29">
        <v>272.94321753800699</v>
      </c>
      <c r="EG18" s="29">
        <v>278.17580771878801</v>
      </c>
    </row>
    <row r="19" spans="2:137" x14ac:dyDescent="0.3">
      <c r="B19" s="2" t="s">
        <v>13</v>
      </c>
      <c r="C19" s="28">
        <v>5.3751603171852601E-5</v>
      </c>
      <c r="D19" s="29">
        <v>3.8214650056147301E-4</v>
      </c>
      <c r="E19" s="29">
        <v>4.0000000000000002E-4</v>
      </c>
      <c r="F19" s="29">
        <v>5.1107712133388996E-4</v>
      </c>
      <c r="G19" s="29">
        <v>6.80229525094727E-4</v>
      </c>
      <c r="H19" s="29">
        <v>1.39859242551438E-3</v>
      </c>
      <c r="I19" s="29">
        <v>1.3033577200472399E-3</v>
      </c>
      <c r="J19" s="29">
        <v>1.52937135740241E-3</v>
      </c>
      <c r="K19" s="29">
        <v>1.6928006090223401E-3</v>
      </c>
      <c r="L19" s="29">
        <v>2.8771582304265701E-3</v>
      </c>
      <c r="M19" s="29">
        <v>6.3121235392650304E-3</v>
      </c>
      <c r="N19" s="29">
        <v>3.2510461364935401E-3</v>
      </c>
      <c r="O19" s="29">
        <v>5.0346097843339697E-4</v>
      </c>
      <c r="P19" s="29">
        <v>1.8348913883848E-3</v>
      </c>
      <c r="Q19" s="29">
        <v>5.3546106085478199E-3</v>
      </c>
      <c r="R19" s="29">
        <v>2.1118693660339802E-3</v>
      </c>
      <c r="S19" s="29">
        <v>2.0604124939809301E-4</v>
      </c>
      <c r="T19" s="29">
        <v>2.1400341424386402E-3</v>
      </c>
      <c r="U19" s="29">
        <v>2.7735066317811602E-3</v>
      </c>
      <c r="V19" s="29">
        <v>3.5303820383366501E-3</v>
      </c>
      <c r="W19" s="29">
        <v>2.8148469299700799E-3</v>
      </c>
      <c r="X19" s="29">
        <v>7.9287080223394493E-3</v>
      </c>
      <c r="Y19" s="29">
        <v>7.37143072677176E-3</v>
      </c>
      <c r="Z19" s="29">
        <v>6.0426939368371799E-3</v>
      </c>
      <c r="AA19" s="29">
        <v>5.8586016558762099E-3</v>
      </c>
      <c r="AB19" s="29">
        <v>6.3075857459383997E-3</v>
      </c>
      <c r="AC19" s="29">
        <v>7.6895866492254503E-3</v>
      </c>
      <c r="AD19" s="29">
        <v>6.9346358366158102E-3</v>
      </c>
      <c r="AE19" s="29">
        <v>9.3831695407765401E-3</v>
      </c>
      <c r="AF19" s="29">
        <v>1.0939469910221E-2</v>
      </c>
      <c r="AG19" s="29">
        <v>7.7099060036498E-3</v>
      </c>
      <c r="AH19" s="29">
        <v>9.7244996574137599E-3</v>
      </c>
      <c r="AI19" s="29">
        <v>1.22065019531932E-2</v>
      </c>
      <c r="AJ19" s="29">
        <v>1.36393575337403E-2</v>
      </c>
      <c r="AK19" s="29">
        <v>1.5407656890655401E-2</v>
      </c>
      <c r="AL19" s="29">
        <v>1.57146359538279E-2</v>
      </c>
      <c r="AM19" s="29">
        <v>1.8752513986512901E-2</v>
      </c>
      <c r="AN19" s="29">
        <v>1.6641914584084601E-2</v>
      </c>
      <c r="AO19" s="29">
        <v>1.93781703807097E-2</v>
      </c>
      <c r="AP19" s="29">
        <v>2.2688374659499098E-2</v>
      </c>
      <c r="AQ19" s="29">
        <v>1.4944818933288501E-2</v>
      </c>
      <c r="AR19" s="29">
        <v>2.1531489773613001E-2</v>
      </c>
      <c r="AS19" s="29">
        <v>2.0679542901906101E-2</v>
      </c>
      <c r="AT19" s="29">
        <v>2.47979913350003E-2</v>
      </c>
      <c r="AU19" s="29">
        <v>3.22209904565696E-2</v>
      </c>
      <c r="AV19" s="29">
        <v>2.82453197466612E-2</v>
      </c>
      <c r="AW19" s="29">
        <v>2.5452937688164201E-2</v>
      </c>
      <c r="AX19" s="29">
        <v>3.2648402197621502E-2</v>
      </c>
      <c r="AY19" s="29">
        <v>4.2722210295138299E-2</v>
      </c>
      <c r="AZ19" s="29">
        <v>3.5718703647184602E-2</v>
      </c>
      <c r="BA19" s="29">
        <v>3.23641942332707E-2</v>
      </c>
      <c r="BB19" s="29">
        <v>3.9170280982418898E-2</v>
      </c>
      <c r="BC19" s="29">
        <v>3.89770566827164E-2</v>
      </c>
      <c r="BD19" s="29">
        <v>4.22939020044171E-2</v>
      </c>
      <c r="BE19" s="29">
        <v>4.7677511010305297E-2</v>
      </c>
      <c r="BF19" s="29">
        <v>4.6611628082868298E-2</v>
      </c>
      <c r="BG19" s="29">
        <v>4.51134698423434E-2</v>
      </c>
      <c r="BH19" s="29">
        <v>5.1714405971517302E-2</v>
      </c>
      <c r="BI19" s="29">
        <v>4.6467135873115101E-2</v>
      </c>
      <c r="BJ19" s="29">
        <v>6.1662500270444003E-2</v>
      </c>
      <c r="BK19" s="29">
        <v>5.51644361859105E-2</v>
      </c>
      <c r="BL19" s="29">
        <v>6.4563758273159605E-2</v>
      </c>
      <c r="BM19" s="29">
        <v>5.9858755726841399E-2</v>
      </c>
      <c r="BN19" s="29">
        <v>7.1568704924957705E-2</v>
      </c>
      <c r="BO19" s="29">
        <v>8.1043804248888907E-2</v>
      </c>
      <c r="BP19" s="29">
        <v>8.0771235018760101E-2</v>
      </c>
      <c r="BQ19" s="29">
        <v>8.2373955786718203E-2</v>
      </c>
      <c r="BR19" s="29">
        <v>8.7681672276363504E-2</v>
      </c>
      <c r="BS19" s="29">
        <v>9.2448778854062302E-2</v>
      </c>
      <c r="BT19" s="29">
        <v>9.9348910537746596E-2</v>
      </c>
      <c r="BU19" s="29">
        <v>9.7063641059970895E-2</v>
      </c>
      <c r="BV19" s="29">
        <v>0.104189327059019</v>
      </c>
      <c r="BW19" s="29">
        <v>9.40479235051907E-2</v>
      </c>
      <c r="BX19" s="29">
        <v>0.114342006333886</v>
      </c>
      <c r="BY19" s="29">
        <v>0.10273964509587701</v>
      </c>
      <c r="BZ19" s="29">
        <v>0.126527016707835</v>
      </c>
      <c r="CA19" s="29">
        <v>0.122000588432745</v>
      </c>
      <c r="CB19" s="29">
        <v>0.14065757544393101</v>
      </c>
      <c r="CC19" s="29">
        <v>0.122219394897018</v>
      </c>
      <c r="CD19" s="29">
        <v>0.14647771608994301</v>
      </c>
      <c r="CE19" s="29">
        <v>0.14959495479474899</v>
      </c>
      <c r="CF19" s="29">
        <v>0.16726821838113601</v>
      </c>
      <c r="CG19" s="29">
        <v>0.15496622015449199</v>
      </c>
      <c r="CH19" s="29">
        <v>0.17801282246245101</v>
      </c>
      <c r="CI19" s="29">
        <v>0.18412802231547101</v>
      </c>
      <c r="CJ19" s="29">
        <v>0.19410776931364901</v>
      </c>
      <c r="CK19" s="29">
        <v>0.16695550193995201</v>
      </c>
      <c r="CL19" s="29">
        <v>0.20995878532530601</v>
      </c>
      <c r="CM19" s="29">
        <v>0.18051487555618601</v>
      </c>
      <c r="CN19" s="29">
        <v>0.227391222690251</v>
      </c>
      <c r="CO19" s="29">
        <v>0.20510900393105799</v>
      </c>
      <c r="CP19" s="29">
        <v>0.248599383591425</v>
      </c>
      <c r="CQ19" s="29">
        <v>0.27177332516476099</v>
      </c>
      <c r="CR19" s="29">
        <v>0.22614866197771999</v>
      </c>
      <c r="CS19" s="29">
        <v>0.297513905390412</v>
      </c>
      <c r="CT19" s="29">
        <v>0.24863575762600101</v>
      </c>
      <c r="CU19" s="29">
        <v>0.32100286929597099</v>
      </c>
      <c r="CV19" s="29">
        <v>0.27952401647502101</v>
      </c>
      <c r="CW19" s="29">
        <v>0.34024270485038399</v>
      </c>
      <c r="CX19" s="29">
        <v>0.28125113961027398</v>
      </c>
      <c r="CY19" s="29">
        <v>0.34838197606968502</v>
      </c>
      <c r="CZ19" s="29">
        <v>0.327874268211302</v>
      </c>
      <c r="DA19" s="29">
        <v>0.399668823236764</v>
      </c>
      <c r="DB19" s="29">
        <v>0.37280848876568501</v>
      </c>
      <c r="DC19" s="29">
        <v>0.44357692710992702</v>
      </c>
      <c r="DD19" s="29">
        <v>0.39772233382973499</v>
      </c>
      <c r="DE19" s="29">
        <v>0.46453565343179898</v>
      </c>
      <c r="DF19" s="29">
        <v>0.42300597329490802</v>
      </c>
      <c r="DG19" s="29">
        <v>0.497166502745579</v>
      </c>
      <c r="DH19" s="29">
        <v>0.46329870198087703</v>
      </c>
      <c r="DI19" s="29">
        <v>0.465471922959383</v>
      </c>
      <c r="DJ19" s="28">
        <v>0.53299267899135805</v>
      </c>
      <c r="DK19" s="29">
        <v>0.53783799278935596</v>
      </c>
      <c r="DL19" s="29">
        <v>0.56032921800860502</v>
      </c>
      <c r="DM19" s="29">
        <v>0.62049854480502298</v>
      </c>
      <c r="DN19" s="29">
        <v>0.63125312969680203</v>
      </c>
      <c r="DO19" s="29">
        <v>0.66976300151068202</v>
      </c>
      <c r="DP19" s="29">
        <v>0.73966948555079304</v>
      </c>
      <c r="DQ19" s="29">
        <v>0.76004640535347801</v>
      </c>
      <c r="DR19" s="29">
        <v>0.887705251887974</v>
      </c>
      <c r="DS19" s="29">
        <v>0.832990068316809</v>
      </c>
      <c r="DT19" s="29">
        <v>0.92483206395579198</v>
      </c>
      <c r="DU19" s="29">
        <v>1.0945950334074599</v>
      </c>
      <c r="DV19" s="29">
        <v>1.0608811148316</v>
      </c>
      <c r="DW19" s="29">
        <v>1.16786052240142</v>
      </c>
      <c r="DX19" s="29">
        <v>1.3577645480180001</v>
      </c>
      <c r="DY19" s="29">
        <v>1.6375741734909399</v>
      </c>
      <c r="DZ19" s="29">
        <v>2.1371707221037202</v>
      </c>
      <c r="EA19" s="29">
        <v>2.6623047284236701</v>
      </c>
      <c r="EB19" s="29">
        <v>3.2775479134467198</v>
      </c>
      <c r="EC19" s="29">
        <v>3.8394503120815302</v>
      </c>
      <c r="ED19" s="29">
        <v>4.5884210260786</v>
      </c>
      <c r="EE19" s="29">
        <v>5.5807138445942703</v>
      </c>
      <c r="EF19" s="29">
        <v>6.7159431505625804</v>
      </c>
      <c r="EG19" s="29">
        <v>7.4571722977134698</v>
      </c>
    </row>
    <row r="20" spans="2:137" x14ac:dyDescent="0.3">
      <c r="B20" s="2" t="s">
        <v>26</v>
      </c>
      <c r="C20" s="28">
        <f>C19/50</f>
        <v>1.0750320634370521E-6</v>
      </c>
      <c r="D20" s="28">
        <f t="shared" ref="D20:BO20" si="0">D19/50</f>
        <v>7.6429300112294594E-6</v>
      </c>
      <c r="E20" s="28">
        <f t="shared" si="0"/>
        <v>7.9999999999999996E-6</v>
      </c>
      <c r="F20" s="28">
        <f t="shared" si="0"/>
        <v>1.0221542426677799E-5</v>
      </c>
      <c r="G20" s="28">
        <f t="shared" si="0"/>
        <v>1.3604590501894541E-5</v>
      </c>
      <c r="H20" s="28">
        <f t="shared" si="0"/>
        <v>2.7971848510287599E-5</v>
      </c>
      <c r="I20" s="28">
        <f t="shared" si="0"/>
        <v>2.6067154400944798E-5</v>
      </c>
      <c r="J20" s="28">
        <f t="shared" si="0"/>
        <v>3.0587427148048198E-5</v>
      </c>
      <c r="K20" s="28">
        <f t="shared" si="0"/>
        <v>3.3856012180446805E-5</v>
      </c>
      <c r="L20" s="28">
        <f t="shared" si="0"/>
        <v>5.7543164608531403E-5</v>
      </c>
      <c r="M20" s="28">
        <f t="shared" si="0"/>
        <v>1.262424707853006E-4</v>
      </c>
      <c r="N20" s="28">
        <f t="shared" si="0"/>
        <v>6.5020922729870808E-5</v>
      </c>
      <c r="O20" s="28">
        <f t="shared" si="0"/>
        <v>1.006921956866794E-5</v>
      </c>
      <c r="P20" s="28">
        <f t="shared" si="0"/>
        <v>3.6697827767695999E-5</v>
      </c>
      <c r="Q20" s="28">
        <f t="shared" si="0"/>
        <v>1.0709221217095639E-4</v>
      </c>
      <c r="R20" s="28">
        <f t="shared" si="0"/>
        <v>4.2237387320679607E-5</v>
      </c>
      <c r="S20" s="28">
        <f t="shared" si="0"/>
        <v>4.1208249879618607E-6</v>
      </c>
      <c r="T20" s="28">
        <f t="shared" si="0"/>
        <v>4.2800682848772803E-5</v>
      </c>
      <c r="U20" s="28">
        <f t="shared" si="0"/>
        <v>5.5470132635623204E-5</v>
      </c>
      <c r="V20" s="28">
        <f t="shared" si="0"/>
        <v>7.0607640766733005E-5</v>
      </c>
      <c r="W20" s="28">
        <f t="shared" si="0"/>
        <v>5.6296938599401595E-5</v>
      </c>
      <c r="X20" s="28">
        <f t="shared" si="0"/>
        <v>1.58574160446789E-4</v>
      </c>
      <c r="Y20" s="28">
        <f t="shared" si="0"/>
        <v>1.4742861453543519E-4</v>
      </c>
      <c r="Z20" s="28">
        <f t="shared" si="0"/>
        <v>1.208538787367436E-4</v>
      </c>
      <c r="AA20" s="28">
        <f t="shared" si="0"/>
        <v>1.1717203311752419E-4</v>
      </c>
      <c r="AB20" s="28">
        <f t="shared" si="0"/>
        <v>1.26151714918768E-4</v>
      </c>
      <c r="AC20" s="28">
        <f t="shared" si="0"/>
        <v>1.5379173298450902E-4</v>
      </c>
      <c r="AD20" s="28">
        <f t="shared" si="0"/>
        <v>1.386927167323162E-4</v>
      </c>
      <c r="AE20" s="28">
        <f t="shared" si="0"/>
        <v>1.8766339081553081E-4</v>
      </c>
      <c r="AF20" s="28">
        <f t="shared" si="0"/>
        <v>2.1878939820441998E-4</v>
      </c>
      <c r="AG20" s="28">
        <f t="shared" si="0"/>
        <v>1.5419812007299601E-4</v>
      </c>
      <c r="AH20" s="28">
        <f t="shared" si="0"/>
        <v>1.9448999314827521E-4</v>
      </c>
      <c r="AI20" s="28">
        <f t="shared" si="0"/>
        <v>2.44130039063864E-4</v>
      </c>
      <c r="AJ20" s="28">
        <f t="shared" si="0"/>
        <v>2.7278715067480599E-4</v>
      </c>
      <c r="AK20" s="28">
        <f t="shared" si="0"/>
        <v>3.0815313781310801E-4</v>
      </c>
      <c r="AL20" s="28">
        <f t="shared" si="0"/>
        <v>3.1429271907655799E-4</v>
      </c>
      <c r="AM20" s="28">
        <f t="shared" si="0"/>
        <v>3.7505027973025804E-4</v>
      </c>
      <c r="AN20" s="28">
        <f t="shared" si="0"/>
        <v>3.32838291681692E-4</v>
      </c>
      <c r="AO20" s="28">
        <f t="shared" si="0"/>
        <v>3.8756340761419397E-4</v>
      </c>
      <c r="AP20" s="28">
        <f t="shared" si="0"/>
        <v>4.5376749318998196E-4</v>
      </c>
      <c r="AQ20" s="28">
        <f t="shared" si="0"/>
        <v>2.9889637866577001E-4</v>
      </c>
      <c r="AR20" s="28">
        <f t="shared" si="0"/>
        <v>4.3062979547226003E-4</v>
      </c>
      <c r="AS20" s="28">
        <f t="shared" si="0"/>
        <v>4.1359085803812203E-4</v>
      </c>
      <c r="AT20" s="28">
        <f t="shared" si="0"/>
        <v>4.95959826700006E-4</v>
      </c>
      <c r="AU20" s="28">
        <f t="shared" si="0"/>
        <v>6.4441980913139201E-4</v>
      </c>
      <c r="AV20" s="28">
        <f t="shared" si="0"/>
        <v>5.6490639493322404E-4</v>
      </c>
      <c r="AW20" s="28">
        <f t="shared" si="0"/>
        <v>5.0905875376328405E-4</v>
      </c>
      <c r="AX20" s="28">
        <f t="shared" si="0"/>
        <v>6.529680439524301E-4</v>
      </c>
      <c r="AY20" s="28">
        <f t="shared" si="0"/>
        <v>8.5444420590276597E-4</v>
      </c>
      <c r="AZ20" s="28">
        <f t="shared" si="0"/>
        <v>7.1437407294369204E-4</v>
      </c>
      <c r="BA20" s="28">
        <f t="shared" si="0"/>
        <v>6.4728388466541397E-4</v>
      </c>
      <c r="BB20" s="28">
        <f t="shared" si="0"/>
        <v>7.83405619648378E-4</v>
      </c>
      <c r="BC20" s="28">
        <f t="shared" si="0"/>
        <v>7.7954113365432797E-4</v>
      </c>
      <c r="BD20" s="28">
        <f t="shared" si="0"/>
        <v>8.4587804008834204E-4</v>
      </c>
      <c r="BE20" s="28">
        <f t="shared" si="0"/>
        <v>9.535502202061059E-4</v>
      </c>
      <c r="BF20" s="28">
        <f t="shared" si="0"/>
        <v>9.3223256165736598E-4</v>
      </c>
      <c r="BG20" s="28">
        <f t="shared" si="0"/>
        <v>9.0226939684686801E-4</v>
      </c>
      <c r="BH20" s="28">
        <f t="shared" si="0"/>
        <v>1.034288119430346E-3</v>
      </c>
      <c r="BI20" s="28">
        <f t="shared" si="0"/>
        <v>9.2934271746230202E-4</v>
      </c>
      <c r="BJ20" s="28">
        <f t="shared" si="0"/>
        <v>1.2332500054088801E-3</v>
      </c>
      <c r="BK20" s="28">
        <f t="shared" si="0"/>
        <v>1.1032887237182099E-3</v>
      </c>
      <c r="BL20" s="28">
        <f t="shared" si="0"/>
        <v>1.2912751654631921E-3</v>
      </c>
      <c r="BM20" s="28">
        <f t="shared" si="0"/>
        <v>1.1971751145368279E-3</v>
      </c>
      <c r="BN20" s="28">
        <f t="shared" si="0"/>
        <v>1.4313740984991542E-3</v>
      </c>
      <c r="BO20" s="28">
        <f t="shared" si="0"/>
        <v>1.6208760849777781E-3</v>
      </c>
      <c r="BP20" s="28">
        <f t="shared" ref="BP20:EA20" si="1">BP19/50</f>
        <v>1.6154247003752021E-3</v>
      </c>
      <c r="BQ20" s="28">
        <f t="shared" si="1"/>
        <v>1.647479115734364E-3</v>
      </c>
      <c r="BR20" s="28">
        <f t="shared" si="1"/>
        <v>1.7536334455272701E-3</v>
      </c>
      <c r="BS20" s="28">
        <f t="shared" si="1"/>
        <v>1.848975577081246E-3</v>
      </c>
      <c r="BT20" s="28">
        <f t="shared" si="1"/>
        <v>1.9869782107549321E-3</v>
      </c>
      <c r="BU20" s="28">
        <f t="shared" si="1"/>
        <v>1.9412728211994179E-3</v>
      </c>
      <c r="BV20" s="28">
        <f t="shared" si="1"/>
        <v>2.0837865411803798E-3</v>
      </c>
      <c r="BW20" s="28">
        <f t="shared" si="1"/>
        <v>1.880958470103814E-3</v>
      </c>
      <c r="BX20" s="28">
        <f t="shared" si="1"/>
        <v>2.28684012667772E-3</v>
      </c>
      <c r="BY20" s="28">
        <f t="shared" si="1"/>
        <v>2.0547929019175399E-3</v>
      </c>
      <c r="BZ20" s="28">
        <f t="shared" si="1"/>
        <v>2.5305403341567001E-3</v>
      </c>
      <c r="CA20" s="28">
        <f t="shared" si="1"/>
        <v>2.4400117686548999E-3</v>
      </c>
      <c r="CB20" s="28">
        <f t="shared" si="1"/>
        <v>2.8131515088786201E-3</v>
      </c>
      <c r="CC20" s="28">
        <f t="shared" si="1"/>
        <v>2.4443878979403598E-3</v>
      </c>
      <c r="CD20" s="28">
        <f t="shared" si="1"/>
        <v>2.9295543217988601E-3</v>
      </c>
      <c r="CE20" s="28">
        <f t="shared" si="1"/>
        <v>2.99189909589498E-3</v>
      </c>
      <c r="CF20" s="28">
        <f t="shared" si="1"/>
        <v>3.34536436762272E-3</v>
      </c>
      <c r="CG20" s="28">
        <f t="shared" si="1"/>
        <v>3.0993244030898398E-3</v>
      </c>
      <c r="CH20" s="28">
        <f t="shared" si="1"/>
        <v>3.5602564492490203E-3</v>
      </c>
      <c r="CI20" s="28">
        <f t="shared" si="1"/>
        <v>3.6825604463094201E-3</v>
      </c>
      <c r="CJ20" s="28">
        <f t="shared" si="1"/>
        <v>3.8821553862729802E-3</v>
      </c>
      <c r="CK20" s="28">
        <f t="shared" si="1"/>
        <v>3.3391100387990401E-3</v>
      </c>
      <c r="CL20" s="28">
        <f t="shared" si="1"/>
        <v>4.1991757065061204E-3</v>
      </c>
      <c r="CM20" s="28">
        <f t="shared" si="1"/>
        <v>3.6102975111237199E-3</v>
      </c>
      <c r="CN20" s="28">
        <f t="shared" si="1"/>
        <v>4.5478244538050203E-3</v>
      </c>
      <c r="CO20" s="28">
        <f t="shared" si="1"/>
        <v>4.1021800786211595E-3</v>
      </c>
      <c r="CP20" s="28">
        <f t="shared" si="1"/>
        <v>4.9719876718284997E-3</v>
      </c>
      <c r="CQ20" s="28">
        <f t="shared" si="1"/>
        <v>5.4354665032952196E-3</v>
      </c>
      <c r="CR20" s="28">
        <f t="shared" si="1"/>
        <v>4.5229732395544002E-3</v>
      </c>
      <c r="CS20" s="28">
        <f t="shared" si="1"/>
        <v>5.9502781078082405E-3</v>
      </c>
      <c r="CT20" s="28">
        <f t="shared" si="1"/>
        <v>4.97271515252002E-3</v>
      </c>
      <c r="CU20" s="28">
        <f t="shared" si="1"/>
        <v>6.4200573859194195E-3</v>
      </c>
      <c r="CV20" s="28">
        <f t="shared" si="1"/>
        <v>5.5904803295004201E-3</v>
      </c>
      <c r="CW20" s="28">
        <f t="shared" si="1"/>
        <v>6.8048540970076796E-3</v>
      </c>
      <c r="CX20" s="28">
        <f t="shared" si="1"/>
        <v>5.6250227922054795E-3</v>
      </c>
      <c r="CY20" s="28">
        <f t="shared" si="1"/>
        <v>6.9676395213937002E-3</v>
      </c>
      <c r="CZ20" s="28">
        <f t="shared" si="1"/>
        <v>6.55748536422604E-3</v>
      </c>
      <c r="DA20" s="28">
        <f t="shared" si="1"/>
        <v>7.9933764647352797E-3</v>
      </c>
      <c r="DB20" s="28">
        <f t="shared" si="1"/>
        <v>7.4561697753136999E-3</v>
      </c>
      <c r="DC20" s="28">
        <f t="shared" si="1"/>
        <v>8.8715385421985413E-3</v>
      </c>
      <c r="DD20" s="28">
        <f t="shared" si="1"/>
        <v>7.9544466765946991E-3</v>
      </c>
      <c r="DE20" s="28">
        <f t="shared" si="1"/>
        <v>9.2907130686359796E-3</v>
      </c>
      <c r="DF20" s="28">
        <f t="shared" si="1"/>
        <v>8.4601194658981606E-3</v>
      </c>
      <c r="DG20" s="28">
        <f t="shared" si="1"/>
        <v>9.9433300549115807E-3</v>
      </c>
      <c r="DH20" s="28">
        <f t="shared" si="1"/>
        <v>9.2659740396175399E-3</v>
      </c>
      <c r="DI20" s="28">
        <f t="shared" si="1"/>
        <v>9.3094384591876599E-3</v>
      </c>
      <c r="DJ20" s="28">
        <f t="shared" si="1"/>
        <v>1.0659853579827161E-2</v>
      </c>
      <c r="DK20" s="28">
        <f t="shared" si="1"/>
        <v>1.0756759855787119E-2</v>
      </c>
      <c r="DL20" s="28">
        <f t="shared" si="1"/>
        <v>1.1206584360172101E-2</v>
      </c>
      <c r="DM20" s="28">
        <f t="shared" si="1"/>
        <v>1.2409970896100459E-2</v>
      </c>
      <c r="DN20" s="28">
        <f t="shared" si="1"/>
        <v>1.262506259393604E-2</v>
      </c>
      <c r="DO20" s="28">
        <f t="shared" si="1"/>
        <v>1.339526003021364E-2</v>
      </c>
      <c r="DP20" s="28">
        <f t="shared" si="1"/>
        <v>1.4793389711015861E-2</v>
      </c>
      <c r="DQ20" s="28">
        <f t="shared" si="1"/>
        <v>1.5200928107069561E-2</v>
      </c>
      <c r="DR20" s="28">
        <f t="shared" si="1"/>
        <v>1.7754105037759479E-2</v>
      </c>
      <c r="DS20" s="28">
        <f t="shared" si="1"/>
        <v>1.6659801366336179E-2</v>
      </c>
      <c r="DT20" s="28">
        <f t="shared" si="1"/>
        <v>1.8496641279115839E-2</v>
      </c>
      <c r="DU20" s="28">
        <f t="shared" si="1"/>
        <v>2.1891900668149198E-2</v>
      </c>
      <c r="DV20" s="28">
        <f t="shared" si="1"/>
        <v>2.1217622296631999E-2</v>
      </c>
      <c r="DW20" s="28">
        <f t="shared" si="1"/>
        <v>2.3357210448028399E-2</v>
      </c>
      <c r="DX20" s="28">
        <f t="shared" si="1"/>
        <v>2.7155290960360002E-2</v>
      </c>
      <c r="DY20" s="28">
        <f t="shared" si="1"/>
        <v>3.27514834698188E-2</v>
      </c>
      <c r="DZ20" s="28">
        <f t="shared" si="1"/>
        <v>4.2743414442074405E-2</v>
      </c>
      <c r="EA20" s="28">
        <f t="shared" si="1"/>
        <v>5.3246094568473401E-2</v>
      </c>
      <c r="EB20" s="28">
        <f t="shared" ref="EB20:EF20" si="2">EB19/50</f>
        <v>6.5550958268934395E-2</v>
      </c>
      <c r="EC20" s="28">
        <f t="shared" si="2"/>
        <v>7.6789006241630597E-2</v>
      </c>
      <c r="ED20" s="28">
        <f t="shared" si="2"/>
        <v>9.1768420521571997E-2</v>
      </c>
      <c r="EE20" s="28">
        <f t="shared" si="2"/>
        <v>0.11161427689188541</v>
      </c>
      <c r="EF20" s="28">
        <f t="shared" si="2"/>
        <v>0.13431886301125162</v>
      </c>
      <c r="EG20" s="28">
        <f>EG19/50</f>
        <v>0.1491434459542694</v>
      </c>
    </row>
    <row r="21" spans="2:137" x14ac:dyDescent="0.3">
      <c r="B21" s="1"/>
      <c r="C21" s="1"/>
    </row>
    <row r="22" spans="2:137" x14ac:dyDescent="0.3">
      <c r="B22" s="1" t="s">
        <v>56</v>
      </c>
      <c r="C22" s="1"/>
    </row>
    <row r="23" spans="2:137" ht="15" thickBot="1" x14ac:dyDescent="0.35">
      <c r="B23" s="1"/>
      <c r="C23" s="3" t="s">
        <v>57</v>
      </c>
      <c r="D23" s="3" t="s">
        <v>24</v>
      </c>
      <c r="E23" s="3" t="s">
        <v>1</v>
      </c>
      <c r="F23" s="3" t="s">
        <v>2</v>
      </c>
    </row>
    <row r="24" spans="2:137" ht="14.4" customHeight="1" x14ac:dyDescent="0.3">
      <c r="B24" s="78" t="str">
        <f>CONCATENATE(C24,"-",D24,"-",F24,"-",E24)</f>
        <v>Ext-Norris-175-11-0,14</v>
      </c>
      <c r="C24" s="72" t="s">
        <v>8</v>
      </c>
      <c r="D24" s="80">
        <v>175</v>
      </c>
      <c r="E24" s="80">
        <v>0.14000000000000001</v>
      </c>
      <c r="F24" s="80">
        <v>11</v>
      </c>
      <c r="G24" s="3" t="s">
        <v>4</v>
      </c>
      <c r="H24" s="4"/>
      <c r="I24" s="38">
        <v>70</v>
      </c>
      <c r="J24" s="38">
        <v>84</v>
      </c>
      <c r="K24" s="38">
        <v>98</v>
      </c>
      <c r="L24" s="38">
        <v>112</v>
      </c>
      <c r="M24" s="38">
        <v>126</v>
      </c>
      <c r="N24" s="38">
        <v>140</v>
      </c>
      <c r="O24" s="38">
        <v>154</v>
      </c>
      <c r="P24" s="38">
        <v>168</v>
      </c>
      <c r="Q24" s="38">
        <v>182</v>
      </c>
      <c r="R24" s="38">
        <v>196</v>
      </c>
      <c r="S24" s="38">
        <v>210</v>
      </c>
      <c r="T24" s="38">
        <v>224</v>
      </c>
      <c r="U24" s="38">
        <v>238</v>
      </c>
      <c r="V24" s="38">
        <v>252</v>
      </c>
      <c r="W24" s="38">
        <v>266</v>
      </c>
      <c r="X24" s="38">
        <v>280</v>
      </c>
    </row>
    <row r="25" spans="2:137" x14ac:dyDescent="0.3">
      <c r="B25" s="78"/>
      <c r="C25" s="73"/>
      <c r="D25" s="80"/>
      <c r="E25" s="80"/>
      <c r="F25" s="80"/>
      <c r="G25" s="3" t="s">
        <v>5</v>
      </c>
      <c r="H25" s="13"/>
      <c r="I25" s="23">
        <f>MIN(I24/$D$24,0.999)</f>
        <v>0.4</v>
      </c>
      <c r="J25" s="23">
        <f t="shared" ref="J25:X25" si="3">MIN(J24/$D$24,0.999)</f>
        <v>0.48</v>
      </c>
      <c r="K25" s="23">
        <f t="shared" si="3"/>
        <v>0.56000000000000005</v>
      </c>
      <c r="L25" s="23">
        <f t="shared" si="3"/>
        <v>0.64</v>
      </c>
      <c r="M25" s="23">
        <f t="shared" si="3"/>
        <v>0.72</v>
      </c>
      <c r="N25" s="23">
        <f t="shared" si="3"/>
        <v>0.8</v>
      </c>
      <c r="O25" s="23">
        <f t="shared" si="3"/>
        <v>0.88</v>
      </c>
      <c r="P25" s="23">
        <f t="shared" si="3"/>
        <v>0.96</v>
      </c>
      <c r="Q25" s="23">
        <f t="shared" si="3"/>
        <v>0.999</v>
      </c>
      <c r="R25" s="23">
        <f t="shared" si="3"/>
        <v>0.999</v>
      </c>
      <c r="S25" s="23">
        <f t="shared" si="3"/>
        <v>0.999</v>
      </c>
      <c r="T25" s="23">
        <f t="shared" si="3"/>
        <v>0.999</v>
      </c>
      <c r="U25" s="23">
        <f t="shared" si="3"/>
        <v>0.999</v>
      </c>
      <c r="V25" s="23">
        <f t="shared" si="3"/>
        <v>0.999</v>
      </c>
      <c r="W25" s="23">
        <f t="shared" si="3"/>
        <v>0.999</v>
      </c>
      <c r="X25" s="23">
        <f t="shared" si="3"/>
        <v>0.999</v>
      </c>
    </row>
    <row r="26" spans="2:137" x14ac:dyDescent="0.3">
      <c r="B26" s="78"/>
      <c r="C26" s="73"/>
      <c r="D26" s="80"/>
      <c r="E26" s="80"/>
      <c r="F26" s="80"/>
      <c r="G26" s="3" t="s">
        <v>43</v>
      </c>
      <c r="H26" s="13"/>
      <c r="I26" s="23">
        <f>4*PI()*0.0000001*$L$12*($D$24/$L$11)*$L$9^2/((SQRT(2*($L$9^2+$L$10^2))))*(I25+(1-I25)*LN(1-I25))*MAX(I24/$D$24,1)+$F$13/1000</f>
        <v>2.644258439996338E-3</v>
      </c>
      <c r="J26" s="23">
        <f t="shared" ref="J26:X26" si="4">4*PI()*0.0000001*$L$12*($D$24/$L$11)*$L$9^2/((SQRT(2*($L$9^2+$L$10^2))))*(J25+(1-J25)*LN(1-J25))*MAX(J24/$D$24,1)+$F$13/1000</f>
        <v>3.9579405443066476E-3</v>
      </c>
      <c r="K26" s="23">
        <f t="shared" si="4"/>
        <v>5.6210634557097251E-3</v>
      </c>
      <c r="L26" s="23">
        <f t="shared" si="4"/>
        <v>7.6978205051485352E-3</v>
      </c>
      <c r="M26" s="23">
        <f t="shared" si="4"/>
        <v>1.0281544941745571E-2</v>
      </c>
      <c r="N26" s="23">
        <f t="shared" si="4"/>
        <v>1.3520751356047248E-2</v>
      </c>
      <c r="O26" s="23">
        <f t="shared" si="4"/>
        <v>1.7690723255933474E-2</v>
      </c>
      <c r="P26" s="23">
        <f t="shared" si="4"/>
        <v>2.3507142051030612E-2</v>
      </c>
      <c r="Q26" s="23">
        <f t="shared" si="4"/>
        <v>2.9178045486083867E-2</v>
      </c>
      <c r="R26" s="23">
        <f t="shared" si="4"/>
        <v>3.1422510523474938E-2</v>
      </c>
      <c r="S26" s="23">
        <f t="shared" si="4"/>
        <v>3.3666975560865994E-2</v>
      </c>
      <c r="T26" s="23">
        <f t="shared" si="4"/>
        <v>3.5911440598257065E-2</v>
      </c>
      <c r="U26" s="23">
        <f t="shared" si="4"/>
        <v>3.8155905635648135E-2</v>
      </c>
      <c r="V26" s="23">
        <f t="shared" si="4"/>
        <v>4.0400370673039199E-2</v>
      </c>
      <c r="W26" s="23">
        <f t="shared" si="4"/>
        <v>4.2644835710430262E-2</v>
      </c>
      <c r="X26" s="23">
        <f t="shared" si="4"/>
        <v>4.4889300747821333E-2</v>
      </c>
    </row>
    <row r="27" spans="2:137" x14ac:dyDescent="0.3">
      <c r="B27" s="78"/>
      <c r="C27" s="73"/>
      <c r="D27" s="80"/>
      <c r="E27" s="80"/>
      <c r="F27" s="80"/>
      <c r="G27" s="3" t="s">
        <v>23</v>
      </c>
      <c r="H27" s="9"/>
      <c r="I27" s="22">
        <f>$D$24*$E$24/($E$24+I26)</f>
        <v>171.75594915589252</v>
      </c>
      <c r="J27" s="22">
        <f t="shared" ref="J27:X27" si="5">$D$24*$E$24/($E$24+J26)</f>
        <v>170.18859749844444</v>
      </c>
      <c r="K27" s="22">
        <f t="shared" si="5"/>
        <v>168.24489135427592</v>
      </c>
      <c r="L27" s="22">
        <f t="shared" si="5"/>
        <v>165.87922500282235</v>
      </c>
      <c r="M27" s="22">
        <f t="shared" si="5"/>
        <v>163.02733652024315</v>
      </c>
      <c r="N27" s="22">
        <f t="shared" si="5"/>
        <v>159.58754620200688</v>
      </c>
      <c r="O27" s="22">
        <f t="shared" si="5"/>
        <v>155.36741473521104</v>
      </c>
      <c r="P27" s="22">
        <f t="shared" si="5"/>
        <v>149.84054942599113</v>
      </c>
      <c r="Q27" s="22">
        <f t="shared" si="5"/>
        <v>144.81784518556401</v>
      </c>
      <c r="R27" s="22">
        <f t="shared" si="5"/>
        <v>142.92171970404624</v>
      </c>
      <c r="S27" s="22">
        <f t="shared" si="5"/>
        <v>141.0746051221083</v>
      </c>
      <c r="T27" s="22">
        <f t="shared" si="5"/>
        <v>139.27462544038053</v>
      </c>
      <c r="U27" s="22">
        <f t="shared" si="5"/>
        <v>137.51999919725182</v>
      </c>
      <c r="V27" s="22">
        <f t="shared" si="5"/>
        <v>135.80903358787566</v>
      </c>
      <c r="W27" s="22">
        <f t="shared" si="5"/>
        <v>134.14011901679456</v>
      </c>
      <c r="X27" s="22">
        <f t="shared" si="5"/>
        <v>132.51172404733487</v>
      </c>
    </row>
    <row r="28" spans="2:137" x14ac:dyDescent="0.3">
      <c r="B28" s="78"/>
      <c r="C28" s="73"/>
      <c r="D28" s="80"/>
      <c r="E28" s="80"/>
      <c r="F28" s="80"/>
      <c r="G28" s="3" t="s">
        <v>31</v>
      </c>
      <c r="H28" s="9"/>
      <c r="I28" s="9">
        <f t="shared" ref="I28:X28" si="6">MIN(I24/I27,0.999)</f>
        <v>0.40755502411427519</v>
      </c>
      <c r="J28" s="9">
        <f t="shared" si="6"/>
        <v>0.49357008186619422</v>
      </c>
      <c r="K28" s="9">
        <f t="shared" si="6"/>
        <v>0.58248425382283886</v>
      </c>
      <c r="L28" s="9">
        <f t="shared" si="6"/>
        <v>0.67519003659496468</v>
      </c>
      <c r="M28" s="9">
        <f t="shared" si="6"/>
        <v>0.77287651684326297</v>
      </c>
      <c r="N28" s="9">
        <f t="shared" si="6"/>
        <v>0.87726143632026998</v>
      </c>
      <c r="O28" s="9">
        <f t="shared" si="6"/>
        <v>0.9911988318944388</v>
      </c>
      <c r="P28" s="9">
        <f t="shared" si="6"/>
        <v>0.999</v>
      </c>
      <c r="Q28" s="9">
        <f t="shared" si="6"/>
        <v>0.999</v>
      </c>
      <c r="R28" s="9">
        <f t="shared" si="6"/>
        <v>0.999</v>
      </c>
      <c r="S28" s="9">
        <f t="shared" si="6"/>
        <v>0.999</v>
      </c>
      <c r="T28" s="9">
        <f t="shared" si="6"/>
        <v>0.999</v>
      </c>
      <c r="U28" s="9">
        <f t="shared" si="6"/>
        <v>0.999</v>
      </c>
      <c r="V28" s="9">
        <f t="shared" si="6"/>
        <v>0.999</v>
      </c>
      <c r="W28" s="9">
        <f t="shared" si="6"/>
        <v>0.999</v>
      </c>
      <c r="X28" s="9">
        <f t="shared" si="6"/>
        <v>0.999</v>
      </c>
    </row>
    <row r="29" spans="2:137" x14ac:dyDescent="0.3">
      <c r="B29" s="78"/>
      <c r="C29" s="73"/>
      <c r="D29" s="80"/>
      <c r="E29" s="80"/>
      <c r="F29" s="80"/>
      <c r="G29" s="3" t="s">
        <v>6</v>
      </c>
      <c r="H29" s="9"/>
      <c r="I29" s="9">
        <f t="shared" ref="I29:X29" si="7">4*PI()*0.0000001*$D$24^2/(PI())*((1-I25)*LN(1-I25)+(2-I25)*I25/2)</f>
        <v>1.6543166531996883E-4</v>
      </c>
      <c r="J29" s="9">
        <f t="shared" si="7"/>
        <v>3.0328840261955057E-4</v>
      </c>
      <c r="K29" s="9">
        <f t="shared" si="7"/>
        <v>5.1411482434361526E-4</v>
      </c>
      <c r="L29" s="9">
        <f t="shared" si="7"/>
        <v>8.2571799838396156E-4</v>
      </c>
      <c r="M29" s="9">
        <f t="shared" si="7"/>
        <v>1.2785277319617957E-3</v>
      </c>
      <c r="N29" s="9">
        <f t="shared" si="7"/>
        <v>1.9368771145364544E-3</v>
      </c>
      <c r="O29" s="9">
        <f t="shared" si="7"/>
        <v>2.9200126017858673E-3</v>
      </c>
      <c r="P29" s="9">
        <f t="shared" si="7"/>
        <v>4.5379508458145805E-3</v>
      </c>
      <c r="Q29" s="9">
        <f t="shared" si="7"/>
        <v>6.0403738728324686E-3</v>
      </c>
      <c r="R29" s="9">
        <f t="shared" si="7"/>
        <v>6.0403738728324686E-3</v>
      </c>
      <c r="S29" s="9">
        <f t="shared" si="7"/>
        <v>6.0403738728324686E-3</v>
      </c>
      <c r="T29" s="9">
        <f t="shared" si="7"/>
        <v>6.0403738728324686E-3</v>
      </c>
      <c r="U29" s="9">
        <f t="shared" si="7"/>
        <v>6.0403738728324686E-3</v>
      </c>
      <c r="V29" s="9">
        <f t="shared" si="7"/>
        <v>6.0403738728324686E-3</v>
      </c>
      <c r="W29" s="9">
        <f t="shared" si="7"/>
        <v>6.0403738728324686E-3</v>
      </c>
      <c r="X29" s="9">
        <f t="shared" si="7"/>
        <v>6.0403738728324686E-3</v>
      </c>
    </row>
    <row r="30" spans="2:137" x14ac:dyDescent="0.3">
      <c r="B30" s="78"/>
      <c r="C30" s="73"/>
      <c r="D30" s="80"/>
      <c r="E30" s="80"/>
      <c r="F30" s="80"/>
      <c r="G30" s="3" t="s">
        <v>29</v>
      </c>
      <c r="H30" s="9"/>
      <c r="I30" s="9">
        <f t="shared" ref="I30:X30" si="8">4*PI()*0.0000001*I27^2/(PI())*((1-I28)*LN(1-I28)+(2-I28)*I28/2)</f>
        <v>1.6946209718438489E-4</v>
      </c>
      <c r="J30" s="9">
        <f t="shared" si="8"/>
        <v>3.1518780128123931E-4</v>
      </c>
      <c r="K30" s="9">
        <f t="shared" si="8"/>
        <v>5.4538694466101177E-4</v>
      </c>
      <c r="L30" s="9">
        <f t="shared" si="8"/>
        <v>9.0247332055616038E-4</v>
      </c>
      <c r="M30" s="9">
        <f t="shared" si="8"/>
        <v>1.4623282524669401E-3</v>
      </c>
      <c r="N30" s="9">
        <f t="shared" si="8"/>
        <v>2.3940002017004613E-3</v>
      </c>
      <c r="O30" s="9">
        <f t="shared" si="8"/>
        <v>4.4252301810691072E-3</v>
      </c>
      <c r="P30" s="9">
        <f t="shared" si="8"/>
        <v>4.4283958657225604E-3</v>
      </c>
      <c r="Q30" s="9">
        <f t="shared" si="8"/>
        <v>4.1364891094015296E-3</v>
      </c>
      <c r="R30" s="9">
        <f t="shared" si="8"/>
        <v>4.0288786760820858E-3</v>
      </c>
      <c r="S30" s="9">
        <f t="shared" si="8"/>
        <v>3.9254134812802578E-3</v>
      </c>
      <c r="T30" s="9">
        <f t="shared" si="8"/>
        <v>3.825883323097239E-3</v>
      </c>
      <c r="U30" s="9">
        <f t="shared" si="8"/>
        <v>3.7300911566382944E-3</v>
      </c>
      <c r="V30" s="9">
        <f t="shared" si="8"/>
        <v>3.6378521180119973E-3</v>
      </c>
      <c r="W30" s="9">
        <f t="shared" si="8"/>
        <v>3.5489926317644584E-3</v>
      </c>
      <c r="X30" s="9">
        <f t="shared" si="8"/>
        <v>3.463349593695467E-3</v>
      </c>
    </row>
    <row r="31" spans="2:137" x14ac:dyDescent="0.3">
      <c r="B31" s="78"/>
      <c r="C31" s="73"/>
      <c r="D31" s="80"/>
      <c r="E31" s="80"/>
      <c r="F31" s="80"/>
      <c r="G31" s="3" t="s">
        <v>10</v>
      </c>
      <c r="H31" s="9"/>
      <c r="I31" s="9">
        <f>I29*$L$6</f>
        <v>8.271583265998441E-3</v>
      </c>
      <c r="J31" s="9">
        <f t="shared" ref="J31:X31" si="9">J29*$L$6</f>
        <v>1.5164420130977529E-2</v>
      </c>
      <c r="K31" s="9">
        <f t="shared" si="9"/>
        <v>2.5705741217180764E-2</v>
      </c>
      <c r="L31" s="9">
        <f t="shared" si="9"/>
        <v>4.128589991919808E-2</v>
      </c>
      <c r="M31" s="9">
        <f t="shared" si="9"/>
        <v>6.3926386598089788E-2</v>
      </c>
      <c r="N31" s="9">
        <f t="shared" si="9"/>
        <v>9.684385572682272E-2</v>
      </c>
      <c r="O31" s="9">
        <f t="shared" si="9"/>
        <v>0.14600063008929337</v>
      </c>
      <c r="P31" s="9">
        <f t="shared" si="9"/>
        <v>0.22689754229072903</v>
      </c>
      <c r="Q31" s="9">
        <f t="shared" si="9"/>
        <v>0.30201869364162343</v>
      </c>
      <c r="R31" s="9">
        <f t="shared" si="9"/>
        <v>0.30201869364162343</v>
      </c>
      <c r="S31" s="9">
        <f t="shared" si="9"/>
        <v>0.30201869364162343</v>
      </c>
      <c r="T31" s="9">
        <f t="shared" si="9"/>
        <v>0.30201869364162343</v>
      </c>
      <c r="U31" s="9">
        <f t="shared" si="9"/>
        <v>0.30201869364162343</v>
      </c>
      <c r="V31" s="9">
        <f t="shared" si="9"/>
        <v>0.30201869364162343</v>
      </c>
      <c r="W31" s="9">
        <f t="shared" si="9"/>
        <v>0.30201869364162343</v>
      </c>
      <c r="X31" s="9">
        <f t="shared" si="9"/>
        <v>0.30201869364162343</v>
      </c>
    </row>
    <row r="32" spans="2:137" x14ac:dyDescent="0.3">
      <c r="B32" s="78"/>
      <c r="C32" s="73"/>
      <c r="D32" s="80"/>
      <c r="E32" s="80"/>
      <c r="F32" s="80"/>
      <c r="G32" s="3" t="s">
        <v>30</v>
      </c>
      <c r="H32" s="9"/>
      <c r="I32" s="9">
        <f>I30*$L$6</f>
        <v>8.4731048592192448E-3</v>
      </c>
      <c r="J32" s="9">
        <f t="shared" ref="J32:X32" si="10">J30*$L$6</f>
        <v>1.5759390064061966E-2</v>
      </c>
      <c r="K32" s="9">
        <f t="shared" si="10"/>
        <v>2.7269347233050589E-2</v>
      </c>
      <c r="L32" s="9">
        <f t="shared" si="10"/>
        <v>4.512366602780802E-2</v>
      </c>
      <c r="M32" s="9">
        <f t="shared" si="10"/>
        <v>7.3116412623347005E-2</v>
      </c>
      <c r="N32" s="9">
        <f t="shared" si="10"/>
        <v>0.11970001008502307</v>
      </c>
      <c r="O32" s="9">
        <f t="shared" si="10"/>
        <v>0.22126150905345537</v>
      </c>
      <c r="P32" s="9">
        <f t="shared" si="10"/>
        <v>0.22141979328612801</v>
      </c>
      <c r="Q32" s="9">
        <f t="shared" si="10"/>
        <v>0.2068244554700765</v>
      </c>
      <c r="R32" s="9">
        <f t="shared" si="10"/>
        <v>0.2014439338041043</v>
      </c>
      <c r="S32" s="9">
        <f t="shared" si="10"/>
        <v>0.19627067406401288</v>
      </c>
      <c r="T32" s="9">
        <f t="shared" si="10"/>
        <v>0.19129416615486194</v>
      </c>
      <c r="U32" s="9">
        <f t="shared" si="10"/>
        <v>0.18650455783191472</v>
      </c>
      <c r="V32" s="9">
        <f t="shared" si="10"/>
        <v>0.18189260590059986</v>
      </c>
      <c r="W32" s="9">
        <f t="shared" si="10"/>
        <v>0.17744963158822291</v>
      </c>
      <c r="X32" s="9">
        <f t="shared" si="10"/>
        <v>0.17316747968477336</v>
      </c>
    </row>
    <row r="33" spans="2:25" x14ac:dyDescent="0.3">
      <c r="B33" s="78"/>
      <c r="C33" s="73"/>
      <c r="D33" s="80"/>
      <c r="E33" s="80"/>
      <c r="F33" s="80"/>
      <c r="G33" s="3" t="s">
        <v>21</v>
      </c>
      <c r="H33" s="9"/>
      <c r="I33" s="9">
        <f t="shared" ref="I33:X33" si="11">0.0001*I24^($F$24+1)/(2^($F$24+1)*$D$24^$F$24)*COMBIN($F$24+1,($F$24+1)/2)</f>
        <v>6.623231999999999E-8</v>
      </c>
      <c r="J33" s="9">
        <f t="shared" si="11"/>
        <v>5.9053401804103477E-7</v>
      </c>
      <c r="K33" s="9">
        <f t="shared" si="11"/>
        <v>3.7549693464925632E-6</v>
      </c>
      <c r="L33" s="9">
        <f t="shared" si="11"/>
        <v>1.8642740729492712E-5</v>
      </c>
      <c r="M33" s="9">
        <f t="shared" si="11"/>
        <v>7.6619626240660531E-5</v>
      </c>
      <c r="N33" s="9">
        <f t="shared" si="11"/>
        <v>2.7128758271999996E-4</v>
      </c>
      <c r="O33" s="9">
        <f t="shared" si="11"/>
        <v>8.5141664786049346E-4</v>
      </c>
      <c r="P33" s="9">
        <f t="shared" si="11"/>
        <v>2.4188273378960784E-3</v>
      </c>
      <c r="Q33" s="9">
        <f t="shared" si="11"/>
        <v>6.320481194882664E-3</v>
      </c>
      <c r="R33" s="9">
        <f t="shared" si="11"/>
        <v>1.5380354443233539E-2</v>
      </c>
      <c r="S33" s="9">
        <f t="shared" si="11"/>
        <v>3.5198570373119985E-2</v>
      </c>
      <c r="T33" s="9">
        <f t="shared" si="11"/>
        <v>7.636066602800215E-2</v>
      </c>
      <c r="U33" s="9">
        <f t="shared" si="11"/>
        <v>0.15805817837698022</v>
      </c>
      <c r="V33" s="9">
        <f t="shared" si="11"/>
        <v>0.31383398908174553</v>
      </c>
      <c r="W33" s="9">
        <f t="shared" si="11"/>
        <v>0.60044485419157112</v>
      </c>
      <c r="X33" s="9">
        <f t="shared" si="11"/>
        <v>1.1111939388211198</v>
      </c>
    </row>
    <row r="34" spans="2:25" x14ac:dyDescent="0.3">
      <c r="B34" s="78"/>
      <c r="C34" s="73"/>
      <c r="D34" s="80"/>
      <c r="E34" s="80"/>
      <c r="F34" s="80"/>
      <c r="G34" s="3" t="s">
        <v>22</v>
      </c>
      <c r="H34" s="9"/>
      <c r="I34" s="9">
        <f t="shared" ref="I34:X34" si="12">0.0001*I24^($F$24+1)/(2^($F$24+1)*I27^$F$24)*COMBIN($F$24+1,($F$24+1)/2)</f>
        <v>8.1368971584358349E-8</v>
      </c>
      <c r="J34" s="9">
        <f t="shared" si="12"/>
        <v>8.0246925689135608E-7</v>
      </c>
      <c r="K34" s="9">
        <f t="shared" si="12"/>
        <v>5.7898083096489835E-6</v>
      </c>
      <c r="L34" s="9">
        <f t="shared" si="12"/>
        <v>3.3590488609512078E-5</v>
      </c>
      <c r="M34" s="9">
        <f t="shared" si="12"/>
        <v>1.6706820200506486E-4</v>
      </c>
      <c r="N34" s="9">
        <f t="shared" si="12"/>
        <v>7.4792746774179377E-4</v>
      </c>
      <c r="O34" s="9">
        <f t="shared" si="12"/>
        <v>3.1521098294504273E-3</v>
      </c>
      <c r="P34" s="9">
        <f t="shared" si="12"/>
        <v>1.3338299933304461E-2</v>
      </c>
      <c r="Q34" s="9">
        <f t="shared" si="12"/>
        <v>5.0713757169721367E-2</v>
      </c>
      <c r="R34" s="9">
        <f t="shared" si="12"/>
        <v>0.14266068804513346</v>
      </c>
      <c r="S34" s="9">
        <f t="shared" si="12"/>
        <v>0.3767092492945458</v>
      </c>
      <c r="T34" s="9">
        <f t="shared" si="12"/>
        <v>0.94123106508324772</v>
      </c>
      <c r="U34" s="9">
        <f t="shared" si="12"/>
        <v>2.23980925762182</v>
      </c>
      <c r="V34" s="9">
        <f t="shared" si="12"/>
        <v>5.1039130341180687</v>
      </c>
      <c r="W34" s="9">
        <f t="shared" si="12"/>
        <v>11.187836273378304</v>
      </c>
      <c r="X34" s="9">
        <f t="shared" si="12"/>
        <v>23.681600518834003</v>
      </c>
    </row>
    <row r="35" spans="2:25" x14ac:dyDescent="0.3">
      <c r="B35" s="78"/>
      <c r="C35" s="73"/>
      <c r="D35" s="80"/>
      <c r="E35" s="80"/>
      <c r="F35" s="80"/>
      <c r="G35" s="3" t="s">
        <v>33</v>
      </c>
      <c r="H35" s="9"/>
      <c r="I35" s="9">
        <f>I31+I33</f>
        <v>8.271649498318441E-3</v>
      </c>
      <c r="J35" s="9">
        <f t="shared" ref="J35:X35" si="13">J31+J33</f>
        <v>1.516501066499557E-2</v>
      </c>
      <c r="K35" s="9">
        <f t="shared" si="13"/>
        <v>2.5709496186527257E-2</v>
      </c>
      <c r="L35" s="9">
        <f t="shared" si="13"/>
        <v>4.1304542659927571E-2</v>
      </c>
      <c r="M35" s="9">
        <f t="shared" si="13"/>
        <v>6.4003006224330444E-2</v>
      </c>
      <c r="N35" s="9">
        <f t="shared" si="13"/>
        <v>9.7115143309542726E-2</v>
      </c>
      <c r="O35" s="9">
        <f t="shared" si="13"/>
        <v>0.14685204673715385</v>
      </c>
      <c r="P35" s="9">
        <f t="shared" si="13"/>
        <v>0.22931636962862512</v>
      </c>
      <c r="Q35" s="9">
        <f t="shared" si="13"/>
        <v>0.30833917483650608</v>
      </c>
      <c r="R35" s="9">
        <f t="shared" si="13"/>
        <v>0.31739904808485697</v>
      </c>
      <c r="S35" s="9">
        <f t="shared" si="13"/>
        <v>0.33721726401474339</v>
      </c>
      <c r="T35" s="9">
        <f t="shared" si="13"/>
        <v>0.37837935966962555</v>
      </c>
      <c r="U35" s="9">
        <f t="shared" si="13"/>
        <v>0.46007687201860364</v>
      </c>
      <c r="V35" s="9">
        <f t="shared" si="13"/>
        <v>0.61585268272336902</v>
      </c>
      <c r="W35" s="9">
        <f t="shared" si="13"/>
        <v>0.9024635478331946</v>
      </c>
      <c r="X35" s="9">
        <f t="shared" si="13"/>
        <v>1.4132126324627432</v>
      </c>
    </row>
    <row r="36" spans="2:25" x14ac:dyDescent="0.3">
      <c r="B36" s="78"/>
      <c r="C36" s="74"/>
      <c r="D36" s="80"/>
      <c r="E36" s="80"/>
      <c r="F36" s="80"/>
      <c r="G36" s="44" t="s">
        <v>32</v>
      </c>
      <c r="H36" s="30"/>
      <c r="I36" s="30">
        <f>I32+I34</f>
        <v>8.4731862281908297E-3</v>
      </c>
      <c r="J36" s="30">
        <f t="shared" ref="J36:X36" si="14">J32+J34</f>
        <v>1.5760192533318857E-2</v>
      </c>
      <c r="K36" s="30">
        <f t="shared" si="14"/>
        <v>2.7275137041360236E-2</v>
      </c>
      <c r="L36" s="30">
        <f t="shared" si="14"/>
        <v>4.5157256516417534E-2</v>
      </c>
      <c r="M36" s="30">
        <f t="shared" si="14"/>
        <v>7.3283480825352076E-2</v>
      </c>
      <c r="N36" s="30">
        <f t="shared" si="14"/>
        <v>0.12044793755276487</v>
      </c>
      <c r="O36" s="30">
        <f t="shared" si="14"/>
        <v>0.22441361888290581</v>
      </c>
      <c r="P36" s="30">
        <f t="shared" si="14"/>
        <v>0.23475809321943247</v>
      </c>
      <c r="Q36" s="30">
        <f t="shared" si="14"/>
        <v>0.25753821263979787</v>
      </c>
      <c r="R36" s="30">
        <f t="shared" si="14"/>
        <v>0.34410462184923774</v>
      </c>
      <c r="S36" s="30">
        <f t="shared" si="14"/>
        <v>0.57297992335855863</v>
      </c>
      <c r="T36" s="30">
        <f t="shared" si="14"/>
        <v>1.1325252312381098</v>
      </c>
      <c r="U36" s="30">
        <f t="shared" si="14"/>
        <v>2.4263138154537347</v>
      </c>
      <c r="V36" s="30">
        <f t="shared" si="14"/>
        <v>5.285805640018669</v>
      </c>
      <c r="W36" s="30">
        <f t="shared" si="14"/>
        <v>11.365285904966527</v>
      </c>
      <c r="X36" s="30">
        <f t="shared" si="14"/>
        <v>23.854767998518778</v>
      </c>
      <c r="Y36" t="s">
        <v>70</v>
      </c>
    </row>
    <row r="37" spans="2:25" x14ac:dyDescent="0.3">
      <c r="K37" s="7"/>
    </row>
    <row r="38" spans="2:25" ht="15" thickBot="1" x14ac:dyDescent="0.35">
      <c r="K38" s="7"/>
    </row>
    <row r="39" spans="2:25" x14ac:dyDescent="0.3">
      <c r="C39" s="3" t="s">
        <v>57</v>
      </c>
      <c r="D39" s="79" t="s">
        <v>61</v>
      </c>
      <c r="E39" s="79"/>
      <c r="F39" s="79"/>
      <c r="G39" s="3" t="s">
        <v>4</v>
      </c>
      <c r="H39" s="4"/>
      <c r="I39" s="38">
        <v>70</v>
      </c>
      <c r="J39" s="38">
        <v>84</v>
      </c>
      <c r="K39" s="38">
        <v>98</v>
      </c>
      <c r="L39" s="38">
        <v>112</v>
      </c>
      <c r="M39" s="38">
        <v>126</v>
      </c>
      <c r="N39" s="38">
        <v>140</v>
      </c>
      <c r="O39" s="38">
        <v>154</v>
      </c>
      <c r="P39" s="38">
        <v>168</v>
      </c>
      <c r="Q39" s="38">
        <v>182</v>
      </c>
      <c r="R39" s="38">
        <v>196</v>
      </c>
      <c r="S39" s="38">
        <v>210</v>
      </c>
      <c r="T39" s="38">
        <v>224</v>
      </c>
      <c r="U39" s="38">
        <v>238</v>
      </c>
      <c r="V39" s="38">
        <v>252</v>
      </c>
      <c r="W39" s="38">
        <v>266</v>
      </c>
      <c r="X39" s="38">
        <v>280</v>
      </c>
    </row>
    <row r="40" spans="2:25" x14ac:dyDescent="0.3">
      <c r="B40" s="78" t="str">
        <f>CONCATENATE(C40,"-",D43,"-",F43,"-",E43)</f>
        <v>Sigmoid-175-11-0,14</v>
      </c>
      <c r="C40" s="75" t="s">
        <v>47</v>
      </c>
      <c r="D40" s="3" t="s">
        <v>58</v>
      </c>
      <c r="E40" s="3" t="s">
        <v>60</v>
      </c>
      <c r="F40" s="3" t="s">
        <v>59</v>
      </c>
      <c r="G40" s="3" t="s">
        <v>5</v>
      </c>
      <c r="I40" s="11">
        <f>MIN(I39/$D$43,0.999)</f>
        <v>0.4</v>
      </c>
      <c r="J40" s="11">
        <f t="shared" ref="J40:X40" si="15">MIN(J39/$D$43,0.999)</f>
        <v>0.48</v>
      </c>
      <c r="K40" s="11">
        <f t="shared" si="15"/>
        <v>0.56000000000000005</v>
      </c>
      <c r="L40" s="11">
        <f t="shared" si="15"/>
        <v>0.64</v>
      </c>
      <c r="M40" s="11">
        <f t="shared" si="15"/>
        <v>0.72</v>
      </c>
      <c r="N40" s="11">
        <f t="shared" si="15"/>
        <v>0.8</v>
      </c>
      <c r="O40" s="11">
        <f t="shared" si="15"/>
        <v>0.88</v>
      </c>
      <c r="P40" s="11">
        <f t="shared" si="15"/>
        <v>0.96</v>
      </c>
      <c r="Q40" s="11">
        <f t="shared" si="15"/>
        <v>0.999</v>
      </c>
      <c r="R40" s="11">
        <f t="shared" si="15"/>
        <v>0.999</v>
      </c>
      <c r="S40" s="11">
        <f t="shared" si="15"/>
        <v>0.999</v>
      </c>
      <c r="T40" s="11">
        <f t="shared" si="15"/>
        <v>0.999</v>
      </c>
      <c r="U40" s="11">
        <f t="shared" si="15"/>
        <v>0.999</v>
      </c>
      <c r="V40" s="11">
        <f t="shared" si="15"/>
        <v>0.999</v>
      </c>
      <c r="W40" s="11">
        <f t="shared" si="15"/>
        <v>0.999</v>
      </c>
      <c r="X40" s="11">
        <f t="shared" si="15"/>
        <v>0.999</v>
      </c>
    </row>
    <row r="41" spans="2:25" x14ac:dyDescent="0.3">
      <c r="B41" s="78"/>
      <c r="C41" s="76"/>
      <c r="D41" s="38">
        <v>0.8</v>
      </c>
      <c r="E41" s="38">
        <v>5</v>
      </c>
      <c r="F41" s="38">
        <v>1.25</v>
      </c>
      <c r="G41" s="3" t="s">
        <v>43</v>
      </c>
      <c r="I41" s="23">
        <f>4*PI()*0.0000001*$L$12*($D$43/$L$11)*$L$9^2/((SQRT(2*($L$9^2+$L$10^2))))*(I40+(1-I40)*LN(1-I40))*MAX(I39/$D$43,1)+$F$13/1000</f>
        <v>2.644258439996338E-3</v>
      </c>
      <c r="J41" s="23">
        <f t="shared" ref="J41:X41" si="16">4*PI()*0.0000001*$L$12*($D$43/$L$11)*$L$9^2/((SQRT(2*($L$9^2+$L$10^2))))*(J40+(1-J40)*LN(1-J40))*MAX(J39/$D$43,1)+$F$13/1000</f>
        <v>3.9579405443066476E-3</v>
      </c>
      <c r="K41" s="23">
        <f t="shared" si="16"/>
        <v>5.6210634557097251E-3</v>
      </c>
      <c r="L41" s="23">
        <f t="shared" si="16"/>
        <v>7.6978205051485352E-3</v>
      </c>
      <c r="M41" s="23">
        <f t="shared" si="16"/>
        <v>1.0281544941745571E-2</v>
      </c>
      <c r="N41" s="23">
        <f t="shared" si="16"/>
        <v>1.3520751356047248E-2</v>
      </c>
      <c r="O41" s="23">
        <f t="shared" si="16"/>
        <v>1.7690723255933474E-2</v>
      </c>
      <c r="P41" s="23">
        <f t="shared" si="16"/>
        <v>2.3507142051030612E-2</v>
      </c>
      <c r="Q41" s="23">
        <f t="shared" si="16"/>
        <v>2.9178045486083867E-2</v>
      </c>
      <c r="R41" s="23">
        <f t="shared" si="16"/>
        <v>3.1422510523474938E-2</v>
      </c>
      <c r="S41" s="23">
        <f t="shared" si="16"/>
        <v>3.3666975560865994E-2</v>
      </c>
      <c r="T41" s="23">
        <f t="shared" si="16"/>
        <v>3.5911440598257065E-2</v>
      </c>
      <c r="U41" s="23">
        <f t="shared" si="16"/>
        <v>3.8155905635648135E-2</v>
      </c>
      <c r="V41" s="23">
        <f t="shared" si="16"/>
        <v>4.0400370673039199E-2</v>
      </c>
      <c r="W41" s="23">
        <f t="shared" si="16"/>
        <v>4.2644835710430262E-2</v>
      </c>
      <c r="X41" s="23">
        <f t="shared" si="16"/>
        <v>4.4889300747821333E-2</v>
      </c>
    </row>
    <row r="42" spans="2:25" x14ac:dyDescent="0.3">
      <c r="B42" s="78"/>
      <c r="C42" s="76"/>
      <c r="D42" s="3" t="s">
        <v>24</v>
      </c>
      <c r="E42" s="3" t="s">
        <v>1</v>
      </c>
      <c r="F42" s="3" t="s">
        <v>2</v>
      </c>
      <c r="G42" s="3" t="s">
        <v>23</v>
      </c>
      <c r="I42" s="9">
        <f>$D$43*$E$43/($E$43+I26)</f>
        <v>171.75594915589252</v>
      </c>
      <c r="J42" s="9">
        <f t="shared" ref="J42:X42" si="17">$D$43*$E$43/($E$43+J26)</f>
        <v>170.18859749844444</v>
      </c>
      <c r="K42" s="9">
        <f t="shared" si="17"/>
        <v>168.24489135427592</v>
      </c>
      <c r="L42" s="9">
        <f t="shared" si="17"/>
        <v>165.87922500282235</v>
      </c>
      <c r="M42" s="9">
        <f t="shared" si="17"/>
        <v>163.02733652024315</v>
      </c>
      <c r="N42" s="9">
        <f t="shared" si="17"/>
        <v>159.58754620200688</v>
      </c>
      <c r="O42" s="9">
        <f t="shared" si="17"/>
        <v>155.36741473521104</v>
      </c>
      <c r="P42" s="9">
        <f t="shared" si="17"/>
        <v>149.84054942599113</v>
      </c>
      <c r="Q42" s="9">
        <f t="shared" si="17"/>
        <v>144.81784518556401</v>
      </c>
      <c r="R42" s="9">
        <f t="shared" si="17"/>
        <v>142.92171970404624</v>
      </c>
      <c r="S42" s="9">
        <f t="shared" si="17"/>
        <v>141.0746051221083</v>
      </c>
      <c r="T42" s="9">
        <f t="shared" si="17"/>
        <v>139.27462544038053</v>
      </c>
      <c r="U42" s="9">
        <f t="shared" si="17"/>
        <v>137.51999919725182</v>
      </c>
      <c r="V42" s="9">
        <f t="shared" si="17"/>
        <v>135.80903358787566</v>
      </c>
      <c r="W42" s="9">
        <f t="shared" si="17"/>
        <v>134.14011901679456</v>
      </c>
      <c r="X42" s="9">
        <f t="shared" si="17"/>
        <v>132.51172404733487</v>
      </c>
    </row>
    <row r="43" spans="2:25" ht="14.4" customHeight="1" x14ac:dyDescent="0.3">
      <c r="B43" s="78"/>
      <c r="C43" s="76"/>
      <c r="D43" s="80">
        <v>175</v>
      </c>
      <c r="E43" s="80">
        <v>0.14000000000000001</v>
      </c>
      <c r="F43" s="80">
        <v>11</v>
      </c>
      <c r="G43" s="3" t="s">
        <v>31</v>
      </c>
      <c r="I43" s="9">
        <f>I39/I42</f>
        <v>0.40755502411427519</v>
      </c>
      <c r="J43" s="9">
        <f t="shared" ref="J43:X43" si="18">J39/J42</f>
        <v>0.49357008186619422</v>
      </c>
      <c r="K43" s="9">
        <f t="shared" si="18"/>
        <v>0.58248425382283886</v>
      </c>
      <c r="L43" s="9">
        <f t="shared" si="18"/>
        <v>0.67519003659496468</v>
      </c>
      <c r="M43" s="9">
        <f t="shared" si="18"/>
        <v>0.77287651684326297</v>
      </c>
      <c r="N43" s="9">
        <f t="shared" si="18"/>
        <v>0.87726143632026998</v>
      </c>
      <c r="O43" s="9">
        <f t="shared" si="18"/>
        <v>0.9911988318944388</v>
      </c>
      <c r="P43" s="9">
        <f t="shared" si="18"/>
        <v>1.1211918312070668</v>
      </c>
      <c r="Q43" s="9">
        <f t="shared" si="18"/>
        <v>1.2567511950394801</v>
      </c>
      <c r="R43" s="9">
        <f t="shared" si="18"/>
        <v>1.3713800841877994</v>
      </c>
      <c r="S43" s="9">
        <f t="shared" si="18"/>
        <v>1.488574076235994</v>
      </c>
      <c r="T43" s="9">
        <f t="shared" si="18"/>
        <v>1.6083331711840645</v>
      </c>
      <c r="U43" s="9">
        <f t="shared" si="18"/>
        <v>1.7306573690320102</v>
      </c>
      <c r="V43" s="9">
        <f t="shared" si="18"/>
        <v>1.8555466697798317</v>
      </c>
      <c r="W43" s="9">
        <f t="shared" si="18"/>
        <v>1.9830010734275283</v>
      </c>
      <c r="X43" s="9">
        <f t="shared" si="18"/>
        <v>2.1130205799751005</v>
      </c>
    </row>
    <row r="44" spans="2:25" x14ac:dyDescent="0.3">
      <c r="B44" s="78"/>
      <c r="C44" s="76"/>
      <c r="D44" s="80"/>
      <c r="E44" s="80"/>
      <c r="F44" s="80"/>
      <c r="G44" s="3" t="s">
        <v>40</v>
      </c>
      <c r="I44" s="9">
        <f t="shared" ref="I44:X44" si="19">4*PI()*0.0000001*I27^2/(PI())*($D$41/((1+EXP(-$E$41*(I43-1)))^$F$41))</f>
        <v>2.1852914991924062E-4</v>
      </c>
      <c r="J44" s="9">
        <f t="shared" si="19"/>
        <v>3.555211116767717E-4</v>
      </c>
      <c r="K44" s="9">
        <f t="shared" si="19"/>
        <v>5.7584055286058174E-4</v>
      </c>
      <c r="L44" s="9">
        <f t="shared" si="19"/>
        <v>9.2347811314160073E-4</v>
      </c>
      <c r="M44" s="9">
        <f t="shared" si="19"/>
        <v>1.4519775987938746E-3</v>
      </c>
      <c r="N44" s="9">
        <f t="shared" si="19"/>
        <v>2.2035241365163491E-3</v>
      </c>
      <c r="O44" s="9">
        <f t="shared" si="19"/>
        <v>3.1586847260333039E-3</v>
      </c>
      <c r="P44" s="9">
        <f t="shared" si="19"/>
        <v>4.1692174708384804E-3</v>
      </c>
      <c r="Q44" s="9">
        <f t="shared" si="19"/>
        <v>4.9437632225071797E-3</v>
      </c>
      <c r="R44" s="9">
        <f t="shared" si="19"/>
        <v>5.4522523164284497E-3</v>
      </c>
      <c r="S44" s="9">
        <f t="shared" si="19"/>
        <v>5.7385896709405727E-3</v>
      </c>
      <c r="T44" s="9">
        <f t="shared" si="19"/>
        <v>5.8555697606648858E-3</v>
      </c>
      <c r="U44" s="9">
        <f t="shared" si="19"/>
        <v>5.861345514596451E-3</v>
      </c>
      <c r="V44" s="9">
        <f t="shared" si="19"/>
        <v>5.8013260364152917E-3</v>
      </c>
      <c r="W44" s="9">
        <f t="shared" si="19"/>
        <v>5.7055771541584767E-3</v>
      </c>
      <c r="X44" s="9">
        <f t="shared" si="19"/>
        <v>5.5922144035558631E-3</v>
      </c>
    </row>
    <row r="45" spans="2:25" x14ac:dyDescent="0.3">
      <c r="B45" s="78"/>
      <c r="C45" s="76"/>
      <c r="D45" s="80"/>
      <c r="E45" s="80"/>
      <c r="F45" s="80"/>
      <c r="G45" s="3" t="s">
        <v>41</v>
      </c>
      <c r="I45" s="9">
        <f>I44*$L$6</f>
        <v>1.0926457495962031E-2</v>
      </c>
      <c r="J45" s="9">
        <f t="shared" ref="J45:X45" si="20">J44*$L$6</f>
        <v>1.7776055583838584E-2</v>
      </c>
      <c r="K45" s="9">
        <f t="shared" si="20"/>
        <v>2.8792027643029086E-2</v>
      </c>
      <c r="L45" s="9">
        <f t="shared" si="20"/>
        <v>4.6173905657080037E-2</v>
      </c>
      <c r="M45" s="9">
        <f t="shared" si="20"/>
        <v>7.2598879939693731E-2</v>
      </c>
      <c r="N45" s="9">
        <f t="shared" si="20"/>
        <v>0.11017620682581745</v>
      </c>
      <c r="O45" s="9">
        <f t="shared" si="20"/>
        <v>0.1579342363016652</v>
      </c>
      <c r="P45" s="9">
        <f t="shared" si="20"/>
        <v>0.20846087354192402</v>
      </c>
      <c r="Q45" s="9">
        <f t="shared" si="20"/>
        <v>0.24718816112535899</v>
      </c>
      <c r="R45" s="9">
        <f t="shared" si="20"/>
        <v>0.27261261582142249</v>
      </c>
      <c r="S45" s="9">
        <f t="shared" si="20"/>
        <v>0.28692948354702863</v>
      </c>
      <c r="T45" s="9">
        <f t="shared" si="20"/>
        <v>0.2927784880332443</v>
      </c>
      <c r="U45" s="9">
        <f t="shared" si="20"/>
        <v>0.29306727572982255</v>
      </c>
      <c r="V45" s="9">
        <f t="shared" si="20"/>
        <v>0.29006630182076459</v>
      </c>
      <c r="W45" s="9">
        <f t="shared" si="20"/>
        <v>0.28527885770792383</v>
      </c>
      <c r="X45" s="9">
        <f t="shared" si="20"/>
        <v>0.27961072017779315</v>
      </c>
    </row>
    <row r="46" spans="2:25" x14ac:dyDescent="0.3">
      <c r="B46" s="78"/>
      <c r="C46" s="76"/>
      <c r="D46" s="80"/>
      <c r="E46" s="80"/>
      <c r="F46" s="80"/>
      <c r="G46" s="3" t="s">
        <v>22</v>
      </c>
      <c r="I46" s="9">
        <f>0.0001*I39^($F$43+1)/(2^($F$43+1)*I42^$F$43)*COMBIN($F$43+1,($F$43+1)/2)</f>
        <v>8.1368971584358349E-8</v>
      </c>
      <c r="J46" s="9">
        <f t="shared" ref="J46:X46" si="21">0.0001*J39^($F$43+1)/(2^($F$43+1)*J42^$F$43)*COMBIN($F$43+1,($F$43+1)/2)</f>
        <v>8.0246925689135608E-7</v>
      </c>
      <c r="K46" s="9">
        <f t="shared" si="21"/>
        <v>5.7898083096489835E-6</v>
      </c>
      <c r="L46" s="9">
        <f t="shared" si="21"/>
        <v>3.3590488609512078E-5</v>
      </c>
      <c r="M46" s="9">
        <f t="shared" si="21"/>
        <v>1.6706820200506486E-4</v>
      </c>
      <c r="N46" s="9">
        <f t="shared" si="21"/>
        <v>7.4792746774179377E-4</v>
      </c>
      <c r="O46" s="9">
        <f t="shared" si="21"/>
        <v>3.1521098294504273E-3</v>
      </c>
      <c r="P46" s="9">
        <f t="shared" si="21"/>
        <v>1.3338299933304461E-2</v>
      </c>
      <c r="Q46" s="9">
        <f t="shared" si="21"/>
        <v>5.0713757169721367E-2</v>
      </c>
      <c r="R46" s="9">
        <f t="shared" si="21"/>
        <v>0.14266068804513346</v>
      </c>
      <c r="S46" s="9">
        <f t="shared" si="21"/>
        <v>0.3767092492945458</v>
      </c>
      <c r="T46" s="9">
        <f t="shared" si="21"/>
        <v>0.94123106508324772</v>
      </c>
      <c r="U46" s="9">
        <f t="shared" si="21"/>
        <v>2.23980925762182</v>
      </c>
      <c r="V46" s="9">
        <f t="shared" si="21"/>
        <v>5.1039130341180687</v>
      </c>
      <c r="W46" s="9">
        <f t="shared" si="21"/>
        <v>11.187836273378304</v>
      </c>
      <c r="X46" s="9">
        <f t="shared" si="21"/>
        <v>23.681600518834003</v>
      </c>
    </row>
    <row r="47" spans="2:25" x14ac:dyDescent="0.3">
      <c r="B47" s="78"/>
      <c r="C47" s="77"/>
      <c r="D47" s="80"/>
      <c r="E47" s="80"/>
      <c r="F47" s="80"/>
      <c r="G47" s="45" t="s">
        <v>42</v>
      </c>
      <c r="H47" s="16"/>
      <c r="I47" s="30">
        <f>I45+I46</f>
        <v>1.0926538864933616E-2</v>
      </c>
      <c r="J47" s="30">
        <f t="shared" ref="J47:X47" si="22">J45+J46</f>
        <v>1.7776858053095475E-2</v>
      </c>
      <c r="K47" s="30">
        <f t="shared" si="22"/>
        <v>2.8797817451338734E-2</v>
      </c>
      <c r="L47" s="30">
        <f t="shared" si="22"/>
        <v>4.6207496145689551E-2</v>
      </c>
      <c r="M47" s="30">
        <f t="shared" si="22"/>
        <v>7.2765948141698802E-2</v>
      </c>
      <c r="N47" s="30">
        <f t="shared" si="22"/>
        <v>0.11092413429355925</v>
      </c>
      <c r="O47" s="30">
        <f t="shared" si="22"/>
        <v>0.16108634613111564</v>
      </c>
      <c r="P47" s="30">
        <f t="shared" si="22"/>
        <v>0.22179917347522848</v>
      </c>
      <c r="Q47" s="30">
        <f t="shared" si="22"/>
        <v>0.29790191829508034</v>
      </c>
      <c r="R47" s="30">
        <f t="shared" si="22"/>
        <v>0.41527330386655592</v>
      </c>
      <c r="S47" s="30">
        <f t="shared" si="22"/>
        <v>0.66363873284157449</v>
      </c>
      <c r="T47" s="30">
        <f t="shared" si="22"/>
        <v>1.2340095531164921</v>
      </c>
      <c r="U47" s="30">
        <f t="shared" si="22"/>
        <v>2.5328765333516428</v>
      </c>
      <c r="V47" s="30">
        <f t="shared" si="22"/>
        <v>5.3939793359388331</v>
      </c>
      <c r="W47" s="30">
        <f t="shared" si="22"/>
        <v>11.473115131086228</v>
      </c>
      <c r="X47" s="30">
        <f t="shared" si="22"/>
        <v>23.961211239011796</v>
      </c>
      <c r="Y47" t="s">
        <v>70</v>
      </c>
    </row>
    <row r="49" spans="2:24" x14ac:dyDescent="0.3">
      <c r="B49" s="1" t="s">
        <v>55</v>
      </c>
      <c r="C49" s="1"/>
    </row>
    <row r="50" spans="2:24" ht="15.6" x14ac:dyDescent="0.3">
      <c r="D50" s="8" t="s">
        <v>0</v>
      </c>
      <c r="E50" s="8" t="s">
        <v>1</v>
      </c>
      <c r="F50" s="8" t="s">
        <v>2</v>
      </c>
      <c r="G50" s="12" t="s">
        <v>3</v>
      </c>
      <c r="H50" s="12" t="s">
        <v>3</v>
      </c>
      <c r="I50" s="11">
        <v>0.5</v>
      </c>
      <c r="J50" s="11">
        <v>0.6</v>
      </c>
      <c r="K50" s="11">
        <v>0.7</v>
      </c>
      <c r="L50" s="11">
        <v>0.8</v>
      </c>
      <c r="M50" s="11">
        <v>0.9</v>
      </c>
      <c r="N50" s="11">
        <v>1</v>
      </c>
      <c r="O50" s="11">
        <v>1.1000000000000001</v>
      </c>
      <c r="P50" s="11">
        <v>1.2</v>
      </c>
      <c r="Q50" s="11">
        <v>1.3</v>
      </c>
      <c r="R50" s="11">
        <v>1.4</v>
      </c>
      <c r="S50" s="11">
        <v>1.5</v>
      </c>
      <c r="T50" s="11">
        <v>1.6</v>
      </c>
      <c r="U50" s="11">
        <v>1.7</v>
      </c>
      <c r="V50" s="11">
        <v>1.8</v>
      </c>
      <c r="W50" s="11">
        <v>1.9</v>
      </c>
      <c r="X50" s="11">
        <v>2</v>
      </c>
    </row>
    <row r="51" spans="2:24" s="16" customFormat="1" x14ac:dyDescent="0.3">
      <c r="B51" s="63" t="str">
        <f>CONCATENATE(C51,"-",D51,"-",F51,"-",E51)</f>
        <v>FEA_KIM-175-11-0,14</v>
      </c>
      <c r="C51" s="67" t="s">
        <v>62</v>
      </c>
      <c r="D51" s="65">
        <v>175</v>
      </c>
      <c r="E51" s="67">
        <v>0.14000000000000001</v>
      </c>
      <c r="F51" s="65">
        <v>11</v>
      </c>
      <c r="G51" s="14" t="s">
        <v>4</v>
      </c>
      <c r="H51" s="14"/>
      <c r="I51" s="15">
        <v>70</v>
      </c>
      <c r="J51" s="15">
        <v>84</v>
      </c>
      <c r="K51" s="15">
        <v>98</v>
      </c>
      <c r="L51" s="15">
        <v>112</v>
      </c>
      <c r="M51" s="15">
        <v>126</v>
      </c>
      <c r="N51" s="15">
        <v>140</v>
      </c>
      <c r="O51" s="15">
        <v>154</v>
      </c>
      <c r="P51" s="15">
        <v>168</v>
      </c>
      <c r="Q51" s="15">
        <v>182</v>
      </c>
      <c r="R51" s="15">
        <v>196</v>
      </c>
      <c r="S51" s="15">
        <v>210</v>
      </c>
      <c r="T51" s="15">
        <v>224</v>
      </c>
      <c r="U51" s="15">
        <v>238</v>
      </c>
      <c r="V51" s="15">
        <v>252</v>
      </c>
      <c r="W51" s="15">
        <v>266</v>
      </c>
      <c r="X51" s="15">
        <v>280</v>
      </c>
    </row>
    <row r="52" spans="2:24" s="16" customFormat="1" x14ac:dyDescent="0.3">
      <c r="B52" s="64"/>
      <c r="C52" s="68"/>
      <c r="D52" s="66"/>
      <c r="E52" s="68"/>
      <c r="F52" s="66"/>
      <c r="G52" s="14" t="s">
        <v>9</v>
      </c>
      <c r="H52" s="14"/>
      <c r="I52" s="17">
        <v>1.05111485985487E-2</v>
      </c>
      <c r="J52" s="15">
        <v>1.89357873983809E-2</v>
      </c>
      <c r="K52" s="15">
        <v>3.1480971167223502E-2</v>
      </c>
      <c r="L52" s="15">
        <v>4.9490378137454299E-2</v>
      </c>
      <c r="M52" s="15">
        <v>7.4685744715324104E-2</v>
      </c>
      <c r="N52" s="15">
        <v>0.109555257252652</v>
      </c>
      <c r="O52" s="15">
        <v>0.157130072606879</v>
      </c>
      <c r="P52" s="15">
        <v>0.22241254245865999</v>
      </c>
      <c r="Q52" s="15">
        <v>0.313543189470677</v>
      </c>
      <c r="R52" s="15">
        <v>0.44277510836066097</v>
      </c>
      <c r="S52" s="18">
        <v>0.65378012366643701</v>
      </c>
      <c r="T52" s="18">
        <v>1.1173245948956001</v>
      </c>
      <c r="U52" s="18">
        <v>2.15745151378268</v>
      </c>
      <c r="V52" s="18">
        <v>4.4185425473448996</v>
      </c>
      <c r="W52" s="18">
        <v>9.1788825332555106</v>
      </c>
      <c r="X52" s="18">
        <v>18.882528629248</v>
      </c>
    </row>
  </sheetData>
  <mergeCells count="25">
    <mergeCell ref="F43:F47"/>
    <mergeCell ref="D13:E13"/>
    <mergeCell ref="D5:F5"/>
    <mergeCell ref="D6:E6"/>
    <mergeCell ref="D7:E7"/>
    <mergeCell ref="D8:E8"/>
    <mergeCell ref="D9:E9"/>
    <mergeCell ref="D10:E10"/>
    <mergeCell ref="D43:D47"/>
    <mergeCell ref="K5:M5"/>
    <mergeCell ref="B51:B52"/>
    <mergeCell ref="D51:D52"/>
    <mergeCell ref="E51:E52"/>
    <mergeCell ref="F51:F52"/>
    <mergeCell ref="K8:M8"/>
    <mergeCell ref="C24:C36"/>
    <mergeCell ref="C40:C47"/>
    <mergeCell ref="B40:B47"/>
    <mergeCell ref="D39:F39"/>
    <mergeCell ref="C51:C52"/>
    <mergeCell ref="B24:B36"/>
    <mergeCell ref="F24:F36"/>
    <mergeCell ref="E24:E36"/>
    <mergeCell ref="D24:D36"/>
    <mergeCell ref="E43:E47"/>
  </mergeCells>
  <pageMargins left="0.7" right="0.7" top="0.75" bottom="0.75" header="0.3" footer="0.3"/>
  <pageSetup paperSize="9"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C5E3-00D4-4457-AF75-EDBF0A5B1CDD}">
  <dimension ref="B2:CF76"/>
  <sheetViews>
    <sheetView zoomScaleNormal="100" workbookViewId="0">
      <selection activeCell="B4" sqref="B4"/>
    </sheetView>
  </sheetViews>
  <sheetFormatPr defaultRowHeight="14.4" x14ac:dyDescent="0.3"/>
  <cols>
    <col min="1" max="1" width="11.88671875" customWidth="1"/>
    <col min="2" max="2" width="16.5546875" customWidth="1"/>
    <col min="3" max="3" width="12" bestFit="1" customWidth="1"/>
    <col min="4" max="4" width="9.88671875" customWidth="1"/>
    <col min="5" max="5" width="12" bestFit="1" customWidth="1"/>
    <col min="6" max="6" width="12" customWidth="1"/>
    <col min="7" max="7" width="17.21875" customWidth="1"/>
    <col min="8" max="8" width="11.5546875" bestFit="1" customWidth="1"/>
    <col min="9" max="9" width="11.109375" customWidth="1"/>
  </cols>
  <sheetData>
    <row r="2" spans="2:84" x14ac:dyDescent="0.3">
      <c r="C2" s="39"/>
      <c r="D2" t="s">
        <v>67</v>
      </c>
    </row>
    <row r="5" spans="2:84" x14ac:dyDescent="0.3">
      <c r="D5" s="91" t="s">
        <v>68</v>
      </c>
      <c r="E5" s="92"/>
      <c r="F5" s="92"/>
      <c r="G5" s="93"/>
      <c r="I5" s="62" t="s">
        <v>64</v>
      </c>
      <c r="J5" s="62"/>
      <c r="K5" s="62"/>
    </row>
    <row r="6" spans="2:84" x14ac:dyDescent="0.3">
      <c r="D6" s="94" t="s">
        <v>80</v>
      </c>
      <c r="E6" s="95"/>
      <c r="F6" s="47" t="s">
        <v>69</v>
      </c>
      <c r="G6" s="5" t="s">
        <v>25</v>
      </c>
      <c r="I6" s="23" t="s">
        <v>65</v>
      </c>
      <c r="J6" s="38">
        <v>50</v>
      </c>
      <c r="K6" s="23" t="s">
        <v>66</v>
      </c>
    </row>
    <row r="7" spans="2:84" x14ac:dyDescent="0.3">
      <c r="C7" s="52" t="s">
        <v>73</v>
      </c>
      <c r="D7" s="94" t="s">
        <v>79</v>
      </c>
      <c r="E7" s="95"/>
      <c r="F7" s="39">
        <v>162</v>
      </c>
      <c r="G7" s="5" t="s">
        <v>25</v>
      </c>
    </row>
    <row r="8" spans="2:84" x14ac:dyDescent="0.3">
      <c r="C8" s="52" t="s">
        <v>76</v>
      </c>
      <c r="D8" s="94" t="s">
        <v>77</v>
      </c>
      <c r="E8" s="95"/>
      <c r="F8" s="9">
        <f>F7/(F10*F11)</f>
        <v>425252657.82911146</v>
      </c>
      <c r="G8" s="5" t="s">
        <v>27</v>
      </c>
    </row>
    <row r="9" spans="2:84" x14ac:dyDescent="0.3">
      <c r="C9" s="52" t="s">
        <v>78</v>
      </c>
      <c r="D9" s="94" t="s">
        <v>1</v>
      </c>
      <c r="E9" s="95"/>
      <c r="F9" s="39">
        <v>0.14000000000000001</v>
      </c>
      <c r="G9" s="5" t="s">
        <v>28</v>
      </c>
    </row>
    <row r="10" spans="2:84" x14ac:dyDescent="0.3">
      <c r="C10" s="52" t="s">
        <v>74</v>
      </c>
      <c r="D10" s="94" t="s">
        <v>36</v>
      </c>
      <c r="E10" s="95"/>
      <c r="F10" s="43">
        <v>9.5000000000000005E-5</v>
      </c>
      <c r="G10" s="5"/>
      <c r="H10" s="35"/>
      <c r="O10" s="6"/>
    </row>
    <row r="11" spans="2:84" x14ac:dyDescent="0.3">
      <c r="C11" s="52" t="s">
        <v>75</v>
      </c>
      <c r="D11" s="94" t="s">
        <v>37</v>
      </c>
      <c r="E11" s="95"/>
      <c r="F11" s="43">
        <v>4.0099999999999997E-3</v>
      </c>
      <c r="G11" s="5"/>
      <c r="H11" s="35"/>
    </row>
    <row r="12" spans="2:84" x14ac:dyDescent="0.3">
      <c r="D12" s="7"/>
      <c r="E12" s="7"/>
    </row>
    <row r="13" spans="2:84" x14ac:dyDescent="0.3">
      <c r="C13" s="46" t="s">
        <v>81</v>
      </c>
      <c r="D13" s="79" t="s">
        <v>71</v>
      </c>
      <c r="E13" s="79"/>
      <c r="F13" s="39">
        <v>0</v>
      </c>
      <c r="G13" s="5" t="s">
        <v>72</v>
      </c>
    </row>
    <row r="14" spans="2:84" x14ac:dyDescent="0.3">
      <c r="D14" s="7"/>
      <c r="E14" s="7"/>
    </row>
    <row r="15" spans="2:84" x14ac:dyDescent="0.3">
      <c r="B15" s="1" t="s">
        <v>45</v>
      </c>
    </row>
    <row r="16" spans="2:84" s="27" customFormat="1" x14ac:dyDescent="0.3">
      <c r="B16" s="2" t="s">
        <v>7</v>
      </c>
      <c r="C16" s="29">
        <v>6.5053823869162368</v>
      </c>
      <c r="D16" s="29">
        <v>9.7580735803743561</v>
      </c>
      <c r="E16" s="29">
        <v>13.039049045079938</v>
      </c>
      <c r="F16" s="29">
        <v>16.305882374161786</v>
      </c>
      <c r="G16" s="29">
        <v>19.586857838867367</v>
      </c>
      <c r="H16" s="29">
        <v>22.839549032325486</v>
      </c>
      <c r="I16" s="29">
        <v>26.134666632654799</v>
      </c>
      <c r="J16" s="29">
        <v>29.415642097360379</v>
      </c>
      <c r="K16" s="29">
        <v>32.668333290818502</v>
      </c>
      <c r="L16" s="29">
        <v>35.921024484276614</v>
      </c>
      <c r="M16" s="29">
        <v>39.173715677734734</v>
      </c>
      <c r="N16" s="29">
        <v>42.426406871192853</v>
      </c>
      <c r="O16" s="29">
        <v>45.679098064650972</v>
      </c>
      <c r="P16" s="29">
        <v>48.974215664980285</v>
      </c>
      <c r="Q16" s="29">
        <v>52.184480451567211</v>
      </c>
      <c r="R16" s="29">
        <v>55.43717164502533</v>
      </c>
      <c r="S16" s="29">
        <v>57.982756057296903</v>
      </c>
      <c r="T16" s="29">
        <v>61.235447250755016</v>
      </c>
      <c r="U16" s="29">
        <v>64.488138444213135</v>
      </c>
      <c r="V16" s="29">
        <v>67.740829637671254</v>
      </c>
      <c r="W16" s="29">
        <v>70.710678118654755</v>
      </c>
      <c r="X16" s="29">
        <v>74.104790668350191</v>
      </c>
      <c r="Y16" s="29">
        <v>77.35748186180831</v>
      </c>
      <c r="Z16" s="29">
        <v>80.610173055266429</v>
      </c>
      <c r="AA16" s="29">
        <v>83.862864248724534</v>
      </c>
      <c r="AB16" s="29">
        <v>86.974134085945352</v>
      </c>
      <c r="AC16" s="29">
        <v>90.226825279403471</v>
      </c>
      <c r="AD16" s="29">
        <v>93.479516472861576</v>
      </c>
      <c r="AE16" s="29">
        <v>96.732207666319709</v>
      </c>
      <c r="AF16" s="29">
        <v>99.843477503540512</v>
      </c>
      <c r="AG16" s="29">
        <v>102.95474734076133</v>
      </c>
      <c r="AH16" s="29">
        <v>106.20743853421943</v>
      </c>
      <c r="AI16" s="29">
        <v>109.31870837144025</v>
      </c>
      <c r="AJ16" s="29">
        <v>112.57139956489837</v>
      </c>
      <c r="AK16" s="29">
        <v>115.96551211459381</v>
      </c>
      <c r="AL16" s="29">
        <v>119.21820330805191</v>
      </c>
      <c r="AM16" s="29">
        <v>122.32947314527273</v>
      </c>
      <c r="AN16" s="29">
        <v>125.44074298249355</v>
      </c>
      <c r="AO16" s="29">
        <v>128.69343417595167</v>
      </c>
      <c r="AP16" s="29">
        <v>131.80470401317248</v>
      </c>
      <c r="AQ16" s="29">
        <v>134.91597385039327</v>
      </c>
      <c r="AR16" s="29">
        <v>138.02724368761409</v>
      </c>
      <c r="AS16" s="29">
        <v>141.13851352483488</v>
      </c>
      <c r="AT16" s="29">
        <v>144.24978336205569</v>
      </c>
      <c r="AU16" s="29">
        <v>147.36105319927651</v>
      </c>
      <c r="AV16" s="29">
        <v>150.33090168026001</v>
      </c>
      <c r="AW16" s="29">
        <v>153.44217151748083</v>
      </c>
      <c r="AX16" s="29">
        <v>156.4120199984643</v>
      </c>
      <c r="AY16" s="29">
        <v>159.52328983568512</v>
      </c>
      <c r="AZ16" s="29">
        <v>162.63455967290594</v>
      </c>
      <c r="BA16" s="29">
        <v>165.60440815388944</v>
      </c>
      <c r="BB16" s="29">
        <v>168.57425663487294</v>
      </c>
      <c r="BC16" s="29">
        <v>171.54410511585644</v>
      </c>
      <c r="BD16" s="29">
        <v>174.65537495307726</v>
      </c>
      <c r="BE16" s="29">
        <v>177.62522343406073</v>
      </c>
      <c r="BF16" s="29">
        <v>180.59507191504426</v>
      </c>
      <c r="BG16" s="29">
        <v>183.84776310850236</v>
      </c>
      <c r="BH16" s="29">
        <v>186.67619023324855</v>
      </c>
      <c r="BI16" s="29">
        <v>189.50461735799476</v>
      </c>
      <c r="BJ16" s="29">
        <v>192.33304448274095</v>
      </c>
      <c r="BK16"/>
      <c r="BL16"/>
      <c r="BM16"/>
      <c r="BN16"/>
      <c r="BO16"/>
      <c r="BP16"/>
      <c r="BQ16"/>
      <c r="BR16"/>
      <c r="BS16"/>
      <c r="BT16"/>
      <c r="BU16"/>
      <c r="BV16"/>
      <c r="BW16"/>
      <c r="BX16"/>
      <c r="BY16"/>
      <c r="BZ16"/>
      <c r="CA16"/>
      <c r="CB16"/>
      <c r="CC16"/>
      <c r="CD16"/>
      <c r="CE16"/>
      <c r="CF16"/>
    </row>
    <row r="17" spans="2:84" s="27" customFormat="1" x14ac:dyDescent="0.3">
      <c r="B17" s="2" t="s">
        <v>13</v>
      </c>
      <c r="C17" s="29">
        <v>2.5309153232492471E-5</v>
      </c>
      <c r="D17" s="29">
        <v>3.4331800165593148E-5</v>
      </c>
      <c r="E17" s="29">
        <v>9.5105822758092862E-5</v>
      </c>
      <c r="F17" s="29">
        <v>1.1160686401216313E-4</v>
      </c>
      <c r="G17" s="29">
        <v>1.937719542984556E-4</v>
      </c>
      <c r="H17" s="29">
        <v>2.0261653771383784E-4</v>
      </c>
      <c r="I17" s="29">
        <v>3.4237119463182433E-4</v>
      </c>
      <c r="J17" s="29">
        <v>5.136121998261709E-4</v>
      </c>
      <c r="K17" s="29">
        <v>4.9796889939231952E-4</v>
      </c>
      <c r="L17" s="29">
        <v>6.8989098771440633E-4</v>
      </c>
      <c r="M17" s="29">
        <v>9.2727570201626064E-4</v>
      </c>
      <c r="N17" s="29">
        <v>1.066523893225666E-3</v>
      </c>
      <c r="O17" s="29">
        <v>1.4183193681176448E-3</v>
      </c>
      <c r="P17" s="29">
        <v>1.7034901252918437E-3</v>
      </c>
      <c r="Q17" s="29">
        <v>2.1768161728459847E-3</v>
      </c>
      <c r="R17" s="29">
        <v>2.6226557018950774E-3</v>
      </c>
      <c r="S17" s="29">
        <v>3.139961605700859E-3</v>
      </c>
      <c r="T17" s="29">
        <v>3.7582305109952704E-3</v>
      </c>
      <c r="U17" s="29">
        <v>4.4951082184171622E-3</v>
      </c>
      <c r="V17" s="29">
        <v>5.2828311468866027E-3</v>
      </c>
      <c r="W17" s="29">
        <v>6.6146621370326356E-3</v>
      </c>
      <c r="X17" s="29">
        <v>7.5658818971954542E-3</v>
      </c>
      <c r="Y17" s="29">
        <v>8.7136410906364578E-3</v>
      </c>
      <c r="Z17" s="29">
        <v>9.9050826109777033E-3</v>
      </c>
      <c r="AA17" s="29">
        <v>1.1491755912888223E-2</v>
      </c>
      <c r="AB17" s="29">
        <v>1.293570296869054E-2</v>
      </c>
      <c r="AC17" s="29">
        <v>1.472126136227442E-2</v>
      </c>
      <c r="AD17" s="29">
        <v>1.6883605659544883E-2</v>
      </c>
      <c r="AE17" s="29">
        <v>1.7647598515499806E-2</v>
      </c>
      <c r="AF17" s="29">
        <v>2.1866008957488033E-2</v>
      </c>
      <c r="AG17" s="29">
        <v>2.3933248136741987E-2</v>
      </c>
      <c r="AH17" s="29">
        <v>2.7704933722803186E-2</v>
      </c>
      <c r="AI17" s="29">
        <v>3.0704911793988515E-2</v>
      </c>
      <c r="AJ17" s="29">
        <v>3.421036992066747E-2</v>
      </c>
      <c r="AK17" s="29">
        <v>3.4739843341921331E-2</v>
      </c>
      <c r="AL17" s="29">
        <v>4.3173153556409459E-2</v>
      </c>
      <c r="AM17" s="29">
        <v>4.7343477823734943E-2</v>
      </c>
      <c r="AN17" s="29">
        <v>5.3136849414121133E-2</v>
      </c>
      <c r="AO17" s="29">
        <v>5.9051647199273652E-2</v>
      </c>
      <c r="AP17" s="29">
        <v>6.476512587635859E-2</v>
      </c>
      <c r="AQ17" s="29">
        <v>7.2637866388777506E-2</v>
      </c>
      <c r="AR17" s="29">
        <v>7.9056262505350958E-2</v>
      </c>
      <c r="AS17" s="29">
        <v>8.1274829935093829E-2</v>
      </c>
      <c r="AT17" s="29">
        <v>9.7524858762819494E-2</v>
      </c>
      <c r="AU17" s="29">
        <v>0.10328635134812644</v>
      </c>
      <c r="AV17" s="29">
        <v>0.12188648877982626</v>
      </c>
      <c r="AW17" s="29">
        <v>0.13751138680582239</v>
      </c>
      <c r="AX17" s="29">
        <v>0.15189234792016698</v>
      </c>
      <c r="AY17" s="29">
        <v>0.16951820503696141</v>
      </c>
      <c r="AZ17" s="29">
        <v>0.19092844149672297</v>
      </c>
      <c r="BA17" s="29">
        <v>0.21311186663425871</v>
      </c>
      <c r="BB17" s="29">
        <v>0.2407348107879691</v>
      </c>
      <c r="BC17" s="29">
        <v>0.27207595606036777</v>
      </c>
      <c r="BD17" s="29">
        <v>0.30802918065074419</v>
      </c>
      <c r="BE17" s="29">
        <v>0.35493644063524227</v>
      </c>
      <c r="BF17" s="29">
        <v>0.41364173031825191</v>
      </c>
      <c r="BG17" s="29">
        <v>0.50148917674580218</v>
      </c>
      <c r="BH17" s="29">
        <v>0.62280213284259556</v>
      </c>
      <c r="BI17" s="29">
        <v>0.78277435489852609</v>
      </c>
      <c r="BJ17" s="29">
        <v>1.0266805212903669</v>
      </c>
      <c r="BK17"/>
      <c r="BL17"/>
      <c r="BM17"/>
      <c r="BN17"/>
      <c r="BO17"/>
      <c r="BP17"/>
      <c r="BQ17"/>
      <c r="BR17"/>
      <c r="BS17"/>
      <c r="BT17"/>
      <c r="BU17"/>
      <c r="BV17"/>
      <c r="BW17"/>
      <c r="BX17"/>
      <c r="BY17"/>
      <c r="BZ17"/>
      <c r="CA17"/>
      <c r="CB17"/>
      <c r="CC17"/>
      <c r="CD17"/>
      <c r="CE17"/>
      <c r="CF17"/>
    </row>
    <row r="18" spans="2:84" x14ac:dyDescent="0.3">
      <c r="B18" s="2" t="s">
        <v>26</v>
      </c>
      <c r="C18" s="29">
        <f>C17/$J$6</f>
        <v>5.0618306464984939E-7</v>
      </c>
      <c r="D18" s="29">
        <f t="shared" ref="D18:BJ18" si="0">D17/$J$6</f>
        <v>6.8663600331186299E-7</v>
      </c>
      <c r="E18" s="29">
        <f t="shared" si="0"/>
        <v>1.9021164551618572E-6</v>
      </c>
      <c r="F18" s="29">
        <f t="shared" si="0"/>
        <v>2.2321372802432627E-6</v>
      </c>
      <c r="G18" s="29">
        <f t="shared" si="0"/>
        <v>3.875439085969112E-6</v>
      </c>
      <c r="H18" s="29">
        <f t="shared" si="0"/>
        <v>4.0523307542767567E-6</v>
      </c>
      <c r="I18" s="29">
        <f t="shared" si="0"/>
        <v>6.8474238926364865E-6</v>
      </c>
      <c r="J18" s="29">
        <f t="shared" si="0"/>
        <v>1.0272243996523418E-5</v>
      </c>
      <c r="K18" s="29">
        <f t="shared" si="0"/>
        <v>9.9593779878463898E-6</v>
      </c>
      <c r="L18" s="29">
        <f t="shared" si="0"/>
        <v>1.3797819754288127E-5</v>
      </c>
      <c r="M18" s="29">
        <f t="shared" si="0"/>
        <v>1.8545514040325211E-5</v>
      </c>
      <c r="N18" s="29">
        <f t="shared" si="0"/>
        <v>2.1330477864513318E-5</v>
      </c>
      <c r="O18" s="29">
        <f t="shared" si="0"/>
        <v>2.8366387362352896E-5</v>
      </c>
      <c r="P18" s="29">
        <f t="shared" si="0"/>
        <v>3.4069802505836877E-5</v>
      </c>
      <c r="Q18" s="29">
        <f t="shared" si="0"/>
        <v>4.3536323456919694E-5</v>
      </c>
      <c r="R18" s="29">
        <f t="shared" si="0"/>
        <v>5.2453114037901546E-5</v>
      </c>
      <c r="S18" s="29">
        <f t="shared" si="0"/>
        <v>6.2799232114017182E-5</v>
      </c>
      <c r="T18" s="29">
        <f t="shared" si="0"/>
        <v>7.5164610219905409E-5</v>
      </c>
      <c r="U18" s="29">
        <f t="shared" si="0"/>
        <v>8.9902164368343244E-5</v>
      </c>
      <c r="V18" s="29">
        <f t="shared" si="0"/>
        <v>1.0565662293773206E-4</v>
      </c>
      <c r="W18" s="29">
        <f t="shared" si="0"/>
        <v>1.3229324274065271E-4</v>
      </c>
      <c r="X18" s="29">
        <f t="shared" si="0"/>
        <v>1.5131763794390909E-4</v>
      </c>
      <c r="Y18" s="29">
        <f t="shared" si="0"/>
        <v>1.7427282181272914E-4</v>
      </c>
      <c r="Z18" s="29">
        <f t="shared" si="0"/>
        <v>1.9810165221955406E-4</v>
      </c>
      <c r="AA18" s="29">
        <f t="shared" si="0"/>
        <v>2.2983511825776446E-4</v>
      </c>
      <c r="AB18" s="29">
        <f t="shared" si="0"/>
        <v>2.5871405937381078E-4</v>
      </c>
      <c r="AC18" s="29">
        <f t="shared" si="0"/>
        <v>2.9442522724548839E-4</v>
      </c>
      <c r="AD18" s="29">
        <f t="shared" si="0"/>
        <v>3.3767211319089764E-4</v>
      </c>
      <c r="AE18" s="29">
        <f t="shared" si="0"/>
        <v>3.5295197030999614E-4</v>
      </c>
      <c r="AF18" s="29">
        <f t="shared" si="0"/>
        <v>4.3732017914976067E-4</v>
      </c>
      <c r="AG18" s="29">
        <f t="shared" si="0"/>
        <v>4.7866496273483972E-4</v>
      </c>
      <c r="AH18" s="29">
        <f t="shared" si="0"/>
        <v>5.5409867445606375E-4</v>
      </c>
      <c r="AI18" s="29">
        <f t="shared" si="0"/>
        <v>6.1409823587977035E-4</v>
      </c>
      <c r="AJ18" s="29">
        <f t="shared" si="0"/>
        <v>6.8420739841334945E-4</v>
      </c>
      <c r="AK18" s="29">
        <f t="shared" si="0"/>
        <v>6.9479686683842658E-4</v>
      </c>
      <c r="AL18" s="29">
        <f t="shared" si="0"/>
        <v>8.6346307112818914E-4</v>
      </c>
      <c r="AM18" s="29">
        <f t="shared" si="0"/>
        <v>9.4686955647469882E-4</v>
      </c>
      <c r="AN18" s="29">
        <f t="shared" si="0"/>
        <v>1.0627369882824226E-3</v>
      </c>
      <c r="AO18" s="29">
        <f t="shared" si="0"/>
        <v>1.181032943985473E-3</v>
      </c>
      <c r="AP18" s="29">
        <f t="shared" si="0"/>
        <v>1.2953025175271719E-3</v>
      </c>
      <c r="AQ18" s="29">
        <f t="shared" si="0"/>
        <v>1.45275732777555E-3</v>
      </c>
      <c r="AR18" s="29">
        <f t="shared" si="0"/>
        <v>1.5811252501070191E-3</v>
      </c>
      <c r="AS18" s="29">
        <f t="shared" si="0"/>
        <v>1.6254965987018766E-3</v>
      </c>
      <c r="AT18" s="29">
        <f t="shared" si="0"/>
        <v>1.95049717525639E-3</v>
      </c>
      <c r="AU18" s="29">
        <f t="shared" si="0"/>
        <v>2.0657270269625288E-3</v>
      </c>
      <c r="AV18" s="29">
        <f t="shared" si="0"/>
        <v>2.4377297755965254E-3</v>
      </c>
      <c r="AW18" s="29">
        <f t="shared" si="0"/>
        <v>2.7502277361164478E-3</v>
      </c>
      <c r="AX18" s="29">
        <f t="shared" si="0"/>
        <v>3.0378469584033396E-3</v>
      </c>
      <c r="AY18" s="29">
        <f t="shared" si="0"/>
        <v>3.390364100739228E-3</v>
      </c>
      <c r="AZ18" s="29">
        <f t="shared" si="0"/>
        <v>3.8185688299344593E-3</v>
      </c>
      <c r="BA18" s="29">
        <f t="shared" si="0"/>
        <v>4.262237332685174E-3</v>
      </c>
      <c r="BB18" s="29">
        <f t="shared" si="0"/>
        <v>4.814696215759382E-3</v>
      </c>
      <c r="BC18" s="29">
        <f t="shared" si="0"/>
        <v>5.4415191212073555E-3</v>
      </c>
      <c r="BD18" s="29">
        <f t="shared" si="0"/>
        <v>6.1605836130148835E-3</v>
      </c>
      <c r="BE18" s="29">
        <f t="shared" si="0"/>
        <v>7.0987288127048456E-3</v>
      </c>
      <c r="BF18" s="29">
        <f t="shared" si="0"/>
        <v>8.2728346063650378E-3</v>
      </c>
      <c r="BG18" s="29">
        <f t="shared" si="0"/>
        <v>1.0029783534916044E-2</v>
      </c>
      <c r="BH18" s="29">
        <f t="shared" si="0"/>
        <v>1.2456042656851912E-2</v>
      </c>
      <c r="BI18" s="29">
        <f t="shared" si="0"/>
        <v>1.5655487097970523E-2</v>
      </c>
      <c r="BJ18" s="29">
        <f t="shared" si="0"/>
        <v>2.0533610425807338E-2</v>
      </c>
    </row>
    <row r="20" spans="2:84" x14ac:dyDescent="0.3">
      <c r="B20" s="1" t="s">
        <v>56</v>
      </c>
      <c r="C20" s="1"/>
    </row>
    <row r="21" spans="2:84" x14ac:dyDescent="0.3">
      <c r="B21" s="1"/>
      <c r="C21" s="3" t="s">
        <v>57</v>
      </c>
      <c r="D21" s="3" t="s">
        <v>24</v>
      </c>
      <c r="E21" s="3" t="s">
        <v>1</v>
      </c>
      <c r="F21" s="3" t="s">
        <v>2</v>
      </c>
      <c r="H21" s="90" t="s">
        <v>35</v>
      </c>
      <c r="I21" s="90"/>
      <c r="J21" s="90"/>
      <c r="K21" s="90"/>
      <c r="L21" s="90"/>
      <c r="M21" s="90"/>
      <c r="N21" s="90"/>
      <c r="O21" s="90"/>
      <c r="P21" s="90"/>
      <c r="Q21" s="90"/>
      <c r="R21" s="90"/>
      <c r="S21" s="90"/>
      <c r="T21" s="90"/>
      <c r="U21" s="90"/>
      <c r="V21" s="90"/>
      <c r="W21" s="90"/>
      <c r="X21" s="90"/>
    </row>
    <row r="22" spans="2:84" x14ac:dyDescent="0.3">
      <c r="B22" s="78" t="str">
        <f>CONCATENATE(C22,"-",D22,"-",E22,"-",F22)</f>
        <v>Ext-Norris_thin-162-0,14-21</v>
      </c>
      <c r="C22" s="84" t="s">
        <v>16</v>
      </c>
      <c r="D22" s="87">
        <v>162</v>
      </c>
      <c r="E22" s="80">
        <v>0.14000000000000001</v>
      </c>
      <c r="F22" s="87">
        <v>21</v>
      </c>
      <c r="G22" s="3" t="s">
        <v>4</v>
      </c>
      <c r="H22" s="18">
        <v>50</v>
      </c>
      <c r="I22" s="18">
        <v>60</v>
      </c>
      <c r="J22" s="18">
        <v>70</v>
      </c>
      <c r="K22" s="18">
        <v>80</v>
      </c>
      <c r="L22" s="18">
        <v>90</v>
      </c>
      <c r="M22" s="18">
        <v>100</v>
      </c>
      <c r="N22" s="18">
        <v>110</v>
      </c>
      <c r="O22" s="18">
        <v>120</v>
      </c>
      <c r="P22" s="18">
        <v>130</v>
      </c>
      <c r="Q22" s="18">
        <v>140</v>
      </c>
      <c r="R22" s="18">
        <v>150</v>
      </c>
      <c r="S22" s="18">
        <v>160</v>
      </c>
      <c r="T22" s="18">
        <v>170</v>
      </c>
      <c r="U22" s="18">
        <v>180</v>
      </c>
      <c r="V22" s="18">
        <v>190</v>
      </c>
      <c r="W22" s="18">
        <v>200</v>
      </c>
      <c r="X22" s="18">
        <v>210</v>
      </c>
    </row>
    <row r="23" spans="2:84" x14ac:dyDescent="0.3">
      <c r="B23" s="78"/>
      <c r="C23" s="85"/>
      <c r="D23" s="88"/>
      <c r="E23" s="80"/>
      <c r="F23" s="88"/>
      <c r="G23" s="3" t="s">
        <v>5</v>
      </c>
      <c r="H23" s="9">
        <f t="shared" ref="H23:X23" si="1">MIN(H22/$D$22,0.999)</f>
        <v>0.30864197530864196</v>
      </c>
      <c r="I23" s="9">
        <f t="shared" si="1"/>
        <v>0.37037037037037035</v>
      </c>
      <c r="J23" s="9">
        <f t="shared" si="1"/>
        <v>0.43209876543209874</v>
      </c>
      <c r="K23" s="9">
        <f t="shared" si="1"/>
        <v>0.49382716049382713</v>
      </c>
      <c r="L23" s="9">
        <f t="shared" si="1"/>
        <v>0.55555555555555558</v>
      </c>
      <c r="M23" s="9">
        <f t="shared" si="1"/>
        <v>0.61728395061728392</v>
      </c>
      <c r="N23" s="9">
        <f t="shared" si="1"/>
        <v>0.67901234567901236</v>
      </c>
      <c r="O23" s="9">
        <f t="shared" si="1"/>
        <v>0.7407407407407407</v>
      </c>
      <c r="P23" s="9">
        <f t="shared" si="1"/>
        <v>0.80246913580246915</v>
      </c>
      <c r="Q23" s="9">
        <f t="shared" si="1"/>
        <v>0.86419753086419748</v>
      </c>
      <c r="R23" s="9">
        <f t="shared" si="1"/>
        <v>0.92592592592592593</v>
      </c>
      <c r="S23" s="9">
        <f t="shared" si="1"/>
        <v>0.98765432098765427</v>
      </c>
      <c r="T23" s="9">
        <f t="shared" si="1"/>
        <v>0.999</v>
      </c>
      <c r="U23" s="9">
        <f t="shared" si="1"/>
        <v>0.999</v>
      </c>
      <c r="V23" s="9">
        <f t="shared" si="1"/>
        <v>0.999</v>
      </c>
      <c r="W23" s="9">
        <f t="shared" si="1"/>
        <v>0.999</v>
      </c>
      <c r="X23" s="9">
        <f t="shared" si="1"/>
        <v>0.999</v>
      </c>
    </row>
    <row r="24" spans="2:84" x14ac:dyDescent="0.3">
      <c r="B24" s="78"/>
      <c r="C24" s="85"/>
      <c r="D24" s="88"/>
      <c r="E24" s="80"/>
      <c r="F24" s="88"/>
      <c r="G24" s="3" t="s">
        <v>34</v>
      </c>
      <c r="H24" s="9">
        <f t="shared" ref="H24:X24" si="2">4*PI()*0.0000001*$D$22/$F$11/2/PI()*((1+H23)*LN(1+H23)+(1-H23)*LN(1-H23))*MAX(H22/$D$22,1)+$F$13/1000</f>
        <v>7.8239158105859329E-4</v>
      </c>
      <c r="I24" s="9">
        <f t="shared" si="2"/>
        <v>1.1351817015136771E-3</v>
      </c>
      <c r="J24" s="9">
        <f t="shared" si="2"/>
        <v>1.559421780538811E-3</v>
      </c>
      <c r="K24" s="9">
        <f t="shared" si="2"/>
        <v>2.0594860543787746E-3</v>
      </c>
      <c r="L24" s="9">
        <f t="shared" si="2"/>
        <v>2.6411410477178163E-3</v>
      </c>
      <c r="M24" s="9">
        <f t="shared" si="2"/>
        <v>3.312088740294795E-3</v>
      </c>
      <c r="N24" s="9">
        <f t="shared" si="2"/>
        <v>4.0828739542869349E-3</v>
      </c>
      <c r="O24" s="9">
        <f t="shared" si="2"/>
        <v>4.968513982900602E-3</v>
      </c>
      <c r="P24" s="9">
        <f t="shared" si="2"/>
        <v>5.9917429694083353E-3</v>
      </c>
      <c r="Q24" s="9">
        <f t="shared" si="2"/>
        <v>7.1905576361995568E-3</v>
      </c>
      <c r="R24" s="9">
        <f t="shared" si="2"/>
        <v>8.6411302632779102E-3</v>
      </c>
      <c r="S24" s="9">
        <f t="shared" si="2"/>
        <v>1.0594048848435256E-2</v>
      </c>
      <c r="T24" s="9">
        <f t="shared" si="2"/>
        <v>1.1681193540116928E-2</v>
      </c>
      <c r="U24" s="9">
        <f t="shared" si="2"/>
        <v>1.2368322571888513E-2</v>
      </c>
      <c r="V24" s="9">
        <f t="shared" si="2"/>
        <v>1.3055451603660099E-2</v>
      </c>
      <c r="W24" s="9">
        <f t="shared" si="2"/>
        <v>1.374258063543168E-2</v>
      </c>
      <c r="X24" s="9">
        <f t="shared" si="2"/>
        <v>1.4429709667203264E-2</v>
      </c>
    </row>
    <row r="25" spans="2:84" x14ac:dyDescent="0.3">
      <c r="B25" s="78"/>
      <c r="C25" s="85"/>
      <c r="D25" s="88"/>
      <c r="E25" s="80"/>
      <c r="F25" s="88"/>
      <c r="G25" s="3" t="s">
        <v>23</v>
      </c>
      <c r="H25" s="9">
        <f t="shared" ref="H25:X25" si="3">$D$22*$F$9/($F$9+H24)</f>
        <v>161.09969254884754</v>
      </c>
      <c r="I25" s="9">
        <f t="shared" si="3"/>
        <v>160.69699791768335</v>
      </c>
      <c r="J25" s="9">
        <f t="shared" si="3"/>
        <v>160.21540434914368</v>
      </c>
      <c r="K25" s="9">
        <f t="shared" si="3"/>
        <v>159.65142934079284</v>
      </c>
      <c r="L25" s="9">
        <f t="shared" si="3"/>
        <v>159.00041063477505</v>
      </c>
      <c r="M25" s="9">
        <f t="shared" si="3"/>
        <v>158.25601454389457</v>
      </c>
      <c r="N25" s="9">
        <f t="shared" si="3"/>
        <v>157.40940874899309</v>
      </c>
      <c r="O25" s="9">
        <f t="shared" si="3"/>
        <v>156.44776494484287</v>
      </c>
      <c r="P25" s="9">
        <f t="shared" si="3"/>
        <v>155.35125164409098</v>
      </c>
      <c r="Q25" s="9">
        <f t="shared" si="3"/>
        <v>154.08597103121619</v>
      </c>
      <c r="R25" s="9">
        <f t="shared" si="3"/>
        <v>152.58226279515276</v>
      </c>
      <c r="S25" s="9">
        <f t="shared" si="3"/>
        <v>150.60356085402944</v>
      </c>
      <c r="T25" s="9">
        <f t="shared" si="3"/>
        <v>149.52413987961896</v>
      </c>
      <c r="U25" s="9">
        <f t="shared" si="3"/>
        <v>148.84983713920855</v>
      </c>
      <c r="V25" s="9">
        <f t="shared" si="3"/>
        <v>148.18158884487354</v>
      </c>
      <c r="W25" s="9">
        <f t="shared" si="3"/>
        <v>147.51931381834203</v>
      </c>
      <c r="X25" s="9">
        <f t="shared" si="3"/>
        <v>146.86293232614054</v>
      </c>
    </row>
    <row r="26" spans="2:84" ht="14.4" customHeight="1" x14ac:dyDescent="0.3">
      <c r="B26" s="78"/>
      <c r="C26" s="85"/>
      <c r="D26" s="88"/>
      <c r="E26" s="80"/>
      <c r="F26" s="88"/>
      <c r="G26" s="3" t="s">
        <v>31</v>
      </c>
      <c r="H26" s="9">
        <f t="shared" ref="H26:X26" si="4">MIN(H22/H25,0.999)</f>
        <v>0.31036682447323322</v>
      </c>
      <c r="I26" s="9">
        <f t="shared" si="4"/>
        <v>0.37337349656485092</v>
      </c>
      <c r="J26" s="9">
        <f t="shared" si="4"/>
        <v>0.43691179561894689</v>
      </c>
      <c r="K26" s="9">
        <f t="shared" si="4"/>
        <v>0.50109166156747365</v>
      </c>
      <c r="L26" s="9">
        <f t="shared" si="4"/>
        <v>0.56603627399888023</v>
      </c>
      <c r="M26" s="9">
        <f t="shared" si="4"/>
        <v>0.63188751649159958</v>
      </c>
      <c r="N26" s="9">
        <f t="shared" si="4"/>
        <v>0.69881464439909879</v>
      </c>
      <c r="O26" s="9">
        <f t="shared" si="4"/>
        <v>0.76702917451270158</v>
      </c>
      <c r="P26" s="9">
        <f t="shared" si="4"/>
        <v>0.83681334153540921</v>
      </c>
      <c r="Q26" s="9">
        <f t="shared" si="4"/>
        <v>0.90858368911234288</v>
      </c>
      <c r="R26" s="9">
        <f t="shared" si="4"/>
        <v>0.98307625835501244</v>
      </c>
      <c r="S26" s="9">
        <f t="shared" si="4"/>
        <v>0.999</v>
      </c>
      <c r="T26" s="9">
        <f t="shared" si="4"/>
        <v>0.999</v>
      </c>
      <c r="U26" s="9">
        <f t="shared" si="4"/>
        <v>0.999</v>
      </c>
      <c r="V26" s="9">
        <f t="shared" si="4"/>
        <v>0.999</v>
      </c>
      <c r="W26" s="9">
        <f t="shared" si="4"/>
        <v>0.999</v>
      </c>
      <c r="X26" s="9">
        <f t="shared" si="4"/>
        <v>0.999</v>
      </c>
    </row>
    <row r="27" spans="2:84" x14ac:dyDescent="0.3">
      <c r="B27" s="78"/>
      <c r="C27" s="85"/>
      <c r="D27" s="88"/>
      <c r="E27" s="80"/>
      <c r="F27" s="88"/>
      <c r="G27" s="3" t="s">
        <v>6</v>
      </c>
      <c r="H27" s="9">
        <f t="shared" ref="H27:X27" si="5">4*PI()*0.0000001*$D$22^2/(PI())*((1-H23)*LN(1-H23)+(1+H23)*LN(1+H23)-H23^2)</f>
        <v>1.6514437774566707E-5</v>
      </c>
      <c r="I27" s="9">
        <f t="shared" si="5"/>
        <v>3.4873473874629813E-5</v>
      </c>
      <c r="J27" s="9">
        <f t="shared" si="5"/>
        <v>6.6063154147244645E-5</v>
      </c>
      <c r="K27" s="9">
        <f t="shared" si="5"/>
        <v>1.1576666129107891E-4</v>
      </c>
      <c r="L27" s="9">
        <f t="shared" si="5"/>
        <v>1.9147609483689492E-4</v>
      </c>
      <c r="M27" s="9">
        <f t="shared" si="5"/>
        <v>3.0319817494060971E-4</v>
      </c>
      <c r="N27" s="9">
        <f t="shared" si="5"/>
        <v>4.6463315636775652E-4</v>
      </c>
      <c r="O27" s="9">
        <f t="shared" si="5"/>
        <v>6.9529210714377836E-4</v>
      </c>
      <c r="P27" s="9">
        <f t="shared" si="5"/>
        <v>1.024712135574084E-3</v>
      </c>
      <c r="Q27" s="9">
        <f t="shared" si="5"/>
        <v>1.5022601032559108E-3</v>
      </c>
      <c r="R27" s="9">
        <f t="shared" si="5"/>
        <v>2.2269020832611898E-3</v>
      </c>
      <c r="S27" s="9">
        <f t="shared" si="5"/>
        <v>3.5242120258410208E-3</v>
      </c>
      <c r="T27" s="9">
        <f t="shared" si="5"/>
        <v>3.9858621788703853E-3</v>
      </c>
      <c r="U27" s="9">
        <f t="shared" si="5"/>
        <v>3.9858621788703853E-3</v>
      </c>
      <c r="V27" s="9">
        <f t="shared" si="5"/>
        <v>3.9858621788703853E-3</v>
      </c>
      <c r="W27" s="9">
        <f t="shared" si="5"/>
        <v>3.9858621788703853E-3</v>
      </c>
      <c r="X27" s="9">
        <f t="shared" si="5"/>
        <v>3.9858621788703853E-3</v>
      </c>
    </row>
    <row r="28" spans="2:84" x14ac:dyDescent="0.3">
      <c r="B28" s="78"/>
      <c r="C28" s="85"/>
      <c r="D28" s="88"/>
      <c r="E28" s="80"/>
      <c r="F28" s="88"/>
      <c r="G28" s="3" t="s">
        <v>29</v>
      </c>
      <c r="H28" s="9">
        <f t="shared" ref="H28:X28" si="6">4*PI()*0.0000001*H25^2/(PI())*((1-H26)*LN(1-H26)+(1+H26)*LN(1+H26)-H26^2)</f>
        <v>1.6707165016983189E-5</v>
      </c>
      <c r="I28" s="9">
        <f t="shared" si="6"/>
        <v>3.5476280631692408E-5</v>
      </c>
      <c r="J28" s="9">
        <f t="shared" si="6"/>
        <v>6.7672989584451803E-5</v>
      </c>
      <c r="K28" s="9">
        <f t="shared" si="6"/>
        <v>1.1961403810723271E-4</v>
      </c>
      <c r="L28" s="9">
        <f t="shared" si="6"/>
        <v>1.9996912196488961E-4</v>
      </c>
      <c r="M28" s="9">
        <f t="shared" si="6"/>
        <v>3.2092654720543328E-4</v>
      </c>
      <c r="N28" s="9">
        <f t="shared" si="6"/>
        <v>5.0032079342923557E-4</v>
      </c>
      <c r="O28" s="9">
        <f t="shared" si="6"/>
        <v>7.6593655188991283E-4</v>
      </c>
      <c r="P28" s="9">
        <f t="shared" si="6"/>
        <v>1.1656767015086195E-3</v>
      </c>
      <c r="Q28" s="9">
        <f t="shared" si="6"/>
        <v>1.7988492956160329E-3</v>
      </c>
      <c r="R28" s="9">
        <f t="shared" si="6"/>
        <v>3.0008750062254729E-3</v>
      </c>
      <c r="S28" s="9">
        <f t="shared" si="6"/>
        <v>3.4447898236325413E-3</v>
      </c>
      <c r="T28" s="9">
        <f t="shared" si="6"/>
        <v>3.3955870956300081E-3</v>
      </c>
      <c r="U28" s="9">
        <f t="shared" si="6"/>
        <v>3.3650302784077688E-3</v>
      </c>
      <c r="V28" s="9">
        <f t="shared" si="6"/>
        <v>3.3348840831448662E-3</v>
      </c>
      <c r="W28" s="9">
        <f t="shared" si="6"/>
        <v>3.3051411854213087E-3</v>
      </c>
      <c r="X28" s="9">
        <f t="shared" si="6"/>
        <v>3.2757944234023959E-3</v>
      </c>
    </row>
    <row r="29" spans="2:84" x14ac:dyDescent="0.3">
      <c r="B29" s="78"/>
      <c r="C29" s="85"/>
      <c r="D29" s="88"/>
      <c r="E29" s="80"/>
      <c r="F29" s="88"/>
      <c r="G29" s="3" t="s">
        <v>10</v>
      </c>
      <c r="H29" s="9">
        <f>H27*$J$6</f>
        <v>8.2572188872833535E-4</v>
      </c>
      <c r="I29" s="9">
        <f t="shared" ref="I29:X30" si="7">I27*$J$6</f>
        <v>1.7436736937314907E-3</v>
      </c>
      <c r="J29" s="9">
        <f t="shared" si="7"/>
        <v>3.3031577073622323E-3</v>
      </c>
      <c r="K29" s="9">
        <f t="shared" si="7"/>
        <v>5.7883330645539452E-3</v>
      </c>
      <c r="L29" s="9">
        <f t="shared" si="7"/>
        <v>9.5738047418447454E-3</v>
      </c>
      <c r="M29" s="9">
        <f t="shared" si="7"/>
        <v>1.5159908747030486E-2</v>
      </c>
      <c r="N29" s="9">
        <f t="shared" si="7"/>
        <v>2.3231657818387826E-2</v>
      </c>
      <c r="O29" s="9">
        <f t="shared" si="7"/>
        <v>3.4764605357188921E-2</v>
      </c>
      <c r="P29" s="9">
        <f t="shared" si="7"/>
        <v>5.1235606778704201E-2</v>
      </c>
      <c r="Q29" s="9">
        <f t="shared" si="7"/>
        <v>7.5113005162795538E-2</v>
      </c>
      <c r="R29" s="9">
        <f t="shared" si="7"/>
        <v>0.1113451041630595</v>
      </c>
      <c r="S29" s="9">
        <f t="shared" si="7"/>
        <v>0.17621060129205104</v>
      </c>
      <c r="T29" s="9">
        <f t="shared" si="7"/>
        <v>0.19929310894351926</v>
      </c>
      <c r="U29" s="9">
        <f t="shared" si="7"/>
        <v>0.19929310894351926</v>
      </c>
      <c r="V29" s="9">
        <f t="shared" si="7"/>
        <v>0.19929310894351926</v>
      </c>
      <c r="W29" s="9">
        <f t="shared" si="7"/>
        <v>0.19929310894351926</v>
      </c>
      <c r="X29" s="9">
        <f t="shared" si="7"/>
        <v>0.19929310894351926</v>
      </c>
    </row>
    <row r="30" spans="2:84" x14ac:dyDescent="0.3">
      <c r="B30" s="78"/>
      <c r="C30" s="85"/>
      <c r="D30" s="88"/>
      <c r="E30" s="80"/>
      <c r="F30" s="88"/>
      <c r="G30" s="3" t="s">
        <v>30</v>
      </c>
      <c r="H30" s="9">
        <f>H28*$J$6</f>
        <v>8.353582508491595E-4</v>
      </c>
      <c r="I30" s="9">
        <f t="shared" si="7"/>
        <v>1.7738140315846204E-3</v>
      </c>
      <c r="J30" s="9">
        <f t="shared" si="7"/>
        <v>3.3836494792225903E-3</v>
      </c>
      <c r="K30" s="9">
        <f t="shared" si="7"/>
        <v>5.9807019053616352E-3</v>
      </c>
      <c r="L30" s="9">
        <f t="shared" si="7"/>
        <v>9.9984560982444813E-3</v>
      </c>
      <c r="M30" s="9">
        <f t="shared" si="7"/>
        <v>1.6046327360271662E-2</v>
      </c>
      <c r="N30" s="9">
        <f t="shared" si="7"/>
        <v>2.5016039671461779E-2</v>
      </c>
      <c r="O30" s="9">
        <f t="shared" si="7"/>
        <v>3.8296827594495639E-2</v>
      </c>
      <c r="P30" s="9">
        <f t="shared" si="7"/>
        <v>5.8283835075430973E-2</v>
      </c>
      <c r="Q30" s="9">
        <f t="shared" si="7"/>
        <v>8.9942464780801645E-2</v>
      </c>
      <c r="R30" s="9">
        <f t="shared" si="7"/>
        <v>0.15004375031127365</v>
      </c>
      <c r="S30" s="9">
        <f t="shared" si="7"/>
        <v>0.17223949118162707</v>
      </c>
      <c r="T30" s="9">
        <f t="shared" si="7"/>
        <v>0.16977935478150041</v>
      </c>
      <c r="U30" s="9">
        <f t="shared" si="7"/>
        <v>0.16825151392038845</v>
      </c>
      <c r="V30" s="9">
        <f t="shared" si="7"/>
        <v>0.16674420415724331</v>
      </c>
      <c r="W30" s="9">
        <f t="shared" si="7"/>
        <v>0.16525705927106543</v>
      </c>
      <c r="X30" s="9">
        <f t="shared" si="7"/>
        <v>0.16378972117011981</v>
      </c>
    </row>
    <row r="31" spans="2:84" x14ac:dyDescent="0.3">
      <c r="B31" s="78"/>
      <c r="C31" s="85"/>
      <c r="D31" s="88"/>
      <c r="E31" s="80"/>
      <c r="F31" s="88"/>
      <c r="G31" s="3" t="s">
        <v>11</v>
      </c>
      <c r="H31" s="9">
        <f t="shared" ref="H31:X31" si="8">0.0001*H22^($F$22+1)/(2^($F$22+1)*$D$22^$F$22)*COMBIN($F$22+1,($F$22+1)/2)</f>
        <v>1.5970556213091536E-14</v>
      </c>
      <c r="I31" s="9">
        <f t="shared" si="8"/>
        <v>8.8167282432312638E-13</v>
      </c>
      <c r="J31" s="9">
        <f t="shared" si="8"/>
        <v>2.6190080099807907E-11</v>
      </c>
      <c r="K31" s="9">
        <f t="shared" si="8"/>
        <v>4.9426477464609768E-10</v>
      </c>
      <c r="L31" s="9">
        <f t="shared" si="8"/>
        <v>6.5965241088198223E-9</v>
      </c>
      <c r="M31" s="9">
        <f t="shared" si="8"/>
        <v>6.6985367806794682E-8</v>
      </c>
      <c r="N31" s="9">
        <f t="shared" si="8"/>
        <v>5.4527931081617904E-7</v>
      </c>
      <c r="O31" s="9">
        <f t="shared" si="8"/>
        <v>3.6980038537497863E-6</v>
      </c>
      <c r="P31" s="9">
        <f t="shared" si="8"/>
        <v>2.1514620857596871E-5</v>
      </c>
      <c r="Q31" s="9">
        <f t="shared" si="8"/>
        <v>1.098491577229447E-4</v>
      </c>
      <c r="R31" s="9">
        <f t="shared" si="8"/>
        <v>5.0117297651191065E-4</v>
      </c>
      <c r="S31" s="9">
        <f t="shared" si="8"/>
        <v>2.0730967213572261E-3</v>
      </c>
      <c r="T31" s="9">
        <f t="shared" si="8"/>
        <v>7.8678526295975892E-3</v>
      </c>
      <c r="U31" s="9">
        <f t="shared" si="8"/>
        <v>2.7667827455719416E-2</v>
      </c>
      <c r="V31" s="9">
        <f t="shared" si="8"/>
        <v>9.0899012944239271E-2</v>
      </c>
      <c r="W31" s="9">
        <f t="shared" si="8"/>
        <v>0.28095699613351016</v>
      </c>
      <c r="X31" s="9">
        <f t="shared" si="8"/>
        <v>0.82187246477655651</v>
      </c>
    </row>
    <row r="32" spans="2:84" x14ac:dyDescent="0.3">
      <c r="B32" s="78"/>
      <c r="C32" s="85"/>
      <c r="D32" s="88"/>
      <c r="E32" s="80"/>
      <c r="F32" s="88"/>
      <c r="G32" s="3" t="s">
        <v>38</v>
      </c>
      <c r="H32" s="9">
        <f t="shared" ref="H32:X32" si="9">0.0001*H22^($F$22+1)/(2^($F$22+1)*H25^$F$22)*COMBIN($F$22+1,($F$22+1)/2)</f>
        <v>1.7953387463346677E-14</v>
      </c>
      <c r="I32" s="9">
        <f t="shared" si="9"/>
        <v>1.0446233435190996E-12</v>
      </c>
      <c r="J32" s="9">
        <f t="shared" si="9"/>
        <v>3.3049314667898529E-11</v>
      </c>
      <c r="K32" s="9">
        <f t="shared" si="9"/>
        <v>6.7165450628055527E-10</v>
      </c>
      <c r="L32" s="9">
        <f t="shared" si="9"/>
        <v>9.7671373465017794E-9</v>
      </c>
      <c r="M32" s="9">
        <f t="shared" si="9"/>
        <v>1.0945372307496724E-7</v>
      </c>
      <c r="N32" s="9">
        <f t="shared" si="9"/>
        <v>9.9721748456993804E-7</v>
      </c>
      <c r="O32" s="9">
        <f t="shared" si="9"/>
        <v>7.6917655850193824E-6</v>
      </c>
      <c r="P32" s="9">
        <f t="shared" si="9"/>
        <v>5.1872730920824754E-5</v>
      </c>
      <c r="Q32" s="9">
        <f t="shared" si="9"/>
        <v>3.1447559353658076E-4</v>
      </c>
      <c r="R32" s="9">
        <f t="shared" si="9"/>
        <v>1.7628602124002181E-3</v>
      </c>
      <c r="S32" s="9">
        <f t="shared" si="9"/>
        <v>9.5916831042742855E-3</v>
      </c>
      <c r="T32" s="9">
        <f t="shared" si="9"/>
        <v>4.2338352259303727E-2</v>
      </c>
      <c r="U32" s="9">
        <f t="shared" si="9"/>
        <v>0.16370981737722592</v>
      </c>
      <c r="V32" s="9">
        <f t="shared" si="9"/>
        <v>0.59114671918301731</v>
      </c>
      <c r="W32" s="9">
        <f t="shared" si="9"/>
        <v>2.0073754137560811</v>
      </c>
      <c r="X32" s="9">
        <f t="shared" si="9"/>
        <v>6.4485732204062449</v>
      </c>
    </row>
    <row r="33" spans="2:25" x14ac:dyDescent="0.3">
      <c r="B33" s="78"/>
      <c r="C33" s="85"/>
      <c r="D33" s="88"/>
      <c r="E33" s="80"/>
      <c r="F33" s="88"/>
      <c r="G33" s="3" t="s">
        <v>12</v>
      </c>
      <c r="H33" s="9">
        <f t="shared" ref="H33:X33" si="10">H31+H29</f>
        <v>8.2572188874430587E-4</v>
      </c>
      <c r="I33" s="9">
        <f t="shared" si="10"/>
        <v>1.7436736946131635E-3</v>
      </c>
      <c r="J33" s="9">
        <f t="shared" si="10"/>
        <v>3.3031577335523124E-3</v>
      </c>
      <c r="K33" s="9">
        <f t="shared" si="10"/>
        <v>5.7883335588187201E-3</v>
      </c>
      <c r="L33" s="9">
        <f t="shared" si="10"/>
        <v>9.5738113383688535E-3</v>
      </c>
      <c r="M33" s="9">
        <f t="shared" si="10"/>
        <v>1.5159975732398292E-2</v>
      </c>
      <c r="N33" s="9">
        <f t="shared" si="10"/>
        <v>2.3232203097698641E-2</v>
      </c>
      <c r="O33" s="9">
        <f t="shared" si="10"/>
        <v>3.4768303361042668E-2</v>
      </c>
      <c r="P33" s="9">
        <f t="shared" si="10"/>
        <v>5.1257121399561796E-2</v>
      </c>
      <c r="Q33" s="9">
        <f t="shared" si="10"/>
        <v>7.5222854320518479E-2</v>
      </c>
      <c r="R33" s="9">
        <f t="shared" si="10"/>
        <v>0.1118462771395714</v>
      </c>
      <c r="S33" s="9">
        <f t="shared" si="10"/>
        <v>0.17828369801340826</v>
      </c>
      <c r="T33" s="9">
        <f t="shared" si="10"/>
        <v>0.20716096157311684</v>
      </c>
      <c r="U33" s="9">
        <f t="shared" si="10"/>
        <v>0.22696093639923867</v>
      </c>
      <c r="V33" s="9">
        <f t="shared" si="10"/>
        <v>0.29019212188775856</v>
      </c>
      <c r="W33" s="9">
        <f t="shared" si="10"/>
        <v>0.48025010507702942</v>
      </c>
      <c r="X33" s="9">
        <f t="shared" si="10"/>
        <v>1.0211655737200758</v>
      </c>
    </row>
    <row r="34" spans="2:25" x14ac:dyDescent="0.3">
      <c r="B34" s="78"/>
      <c r="C34" s="86"/>
      <c r="D34" s="89"/>
      <c r="E34" s="80"/>
      <c r="F34" s="89"/>
      <c r="G34" s="14" t="s">
        <v>39</v>
      </c>
      <c r="H34" s="30">
        <f t="shared" ref="H34:X34" si="11">H32+H30</f>
        <v>8.3535825086711291E-4</v>
      </c>
      <c r="I34" s="30">
        <f t="shared" si="11"/>
        <v>1.7738140326292438E-3</v>
      </c>
      <c r="J34" s="30">
        <f t="shared" si="11"/>
        <v>3.3836495122719049E-3</v>
      </c>
      <c r="K34" s="30">
        <f t="shared" si="11"/>
        <v>5.9807025770161415E-3</v>
      </c>
      <c r="L34" s="30">
        <f t="shared" si="11"/>
        <v>9.9984658653818285E-3</v>
      </c>
      <c r="M34" s="30">
        <f t="shared" si="11"/>
        <v>1.6046436813994737E-2</v>
      </c>
      <c r="N34" s="30">
        <f t="shared" si="11"/>
        <v>2.501703688894635E-2</v>
      </c>
      <c r="O34" s="30">
        <f t="shared" si="11"/>
        <v>3.8304519360080655E-2</v>
      </c>
      <c r="P34" s="30">
        <f t="shared" si="11"/>
        <v>5.8335707806351798E-2</v>
      </c>
      <c r="Q34" s="30">
        <f t="shared" si="11"/>
        <v>9.0256940374338221E-2</v>
      </c>
      <c r="R34" s="30">
        <f t="shared" si="11"/>
        <v>0.15180661052367386</v>
      </c>
      <c r="S34" s="30">
        <f t="shared" si="11"/>
        <v>0.18183117428590134</v>
      </c>
      <c r="T34" s="30">
        <f t="shared" si="11"/>
        <v>0.21211770704080413</v>
      </c>
      <c r="U34" s="30">
        <f t="shared" si="11"/>
        <v>0.3319613312976144</v>
      </c>
      <c r="V34" s="30">
        <f t="shared" si="11"/>
        <v>0.75789092334026065</v>
      </c>
      <c r="W34" s="30">
        <f t="shared" si="11"/>
        <v>2.1726324730271465</v>
      </c>
      <c r="X34" s="30">
        <f t="shared" si="11"/>
        <v>6.6123629415763645</v>
      </c>
      <c r="Y34" t="s">
        <v>70</v>
      </c>
    </row>
    <row r="35" spans="2:25" x14ac:dyDescent="0.3">
      <c r="B35" s="37"/>
      <c r="C35" s="37"/>
      <c r="D35" s="10"/>
      <c r="E35" s="10"/>
      <c r="F35" s="10"/>
      <c r="G35" s="7"/>
      <c r="H35" s="6"/>
      <c r="I35" s="6"/>
      <c r="J35" s="6"/>
      <c r="K35" s="6"/>
      <c r="L35" s="6"/>
      <c r="M35" s="6"/>
      <c r="N35" s="6"/>
      <c r="O35" s="6"/>
      <c r="P35" s="6"/>
      <c r="Q35" s="6"/>
      <c r="R35" s="6"/>
      <c r="S35" s="6"/>
      <c r="T35" s="6"/>
      <c r="U35" s="6"/>
      <c r="V35" s="6"/>
      <c r="W35" s="6"/>
      <c r="X35" s="6"/>
    </row>
    <row r="36" spans="2:25" x14ac:dyDescent="0.3">
      <c r="H36" s="90" t="s">
        <v>35</v>
      </c>
      <c r="I36" s="90"/>
      <c r="J36" s="90"/>
      <c r="K36" s="90"/>
      <c r="L36" s="90"/>
      <c r="M36" s="90"/>
      <c r="N36" s="90"/>
      <c r="O36" s="90"/>
      <c r="P36" s="90"/>
      <c r="Q36" s="90"/>
      <c r="R36" s="90"/>
      <c r="S36" s="90"/>
      <c r="T36" s="90"/>
      <c r="U36" s="90"/>
      <c r="V36" s="90"/>
      <c r="W36" s="90"/>
      <c r="X36" s="90"/>
    </row>
    <row r="37" spans="2:25" x14ac:dyDescent="0.3">
      <c r="C37" s="3" t="s">
        <v>57</v>
      </c>
      <c r="D37" s="79" t="s">
        <v>61</v>
      </c>
      <c r="E37" s="79"/>
      <c r="F37" s="79"/>
      <c r="G37" s="3" t="s">
        <v>4</v>
      </c>
      <c r="H37" s="18">
        <v>50</v>
      </c>
      <c r="I37" s="18">
        <v>60</v>
      </c>
      <c r="J37" s="18">
        <v>70</v>
      </c>
      <c r="K37" s="18">
        <v>80</v>
      </c>
      <c r="L37" s="18">
        <v>90</v>
      </c>
      <c r="M37" s="18">
        <v>100</v>
      </c>
      <c r="N37" s="18">
        <v>110</v>
      </c>
      <c r="O37" s="18">
        <v>120</v>
      </c>
      <c r="P37" s="18">
        <v>130</v>
      </c>
      <c r="Q37" s="18">
        <v>140</v>
      </c>
      <c r="R37" s="18">
        <v>150</v>
      </c>
      <c r="S37" s="18">
        <v>160</v>
      </c>
      <c r="T37" s="18">
        <v>170</v>
      </c>
      <c r="U37" s="18">
        <v>180</v>
      </c>
      <c r="V37" s="18">
        <v>190</v>
      </c>
      <c r="W37" s="18">
        <v>200</v>
      </c>
      <c r="X37" s="18">
        <v>210</v>
      </c>
    </row>
    <row r="38" spans="2:25" x14ac:dyDescent="0.3">
      <c r="B38" s="78" t="str">
        <f>CONCATENATE(C38,"-",D41,"-",E41,"-",F41)</f>
        <v>Sigmoid-162-0,14-21</v>
      </c>
      <c r="C38" s="75" t="s">
        <v>47</v>
      </c>
      <c r="D38" s="3" t="s">
        <v>58</v>
      </c>
      <c r="E38" s="3" t="s">
        <v>60</v>
      </c>
      <c r="F38" s="3" t="s">
        <v>59</v>
      </c>
      <c r="G38" s="3" t="s">
        <v>5</v>
      </c>
      <c r="H38" s="9">
        <f>MIN(H37/$D$41,0.999)</f>
        <v>0.30864197530864196</v>
      </c>
      <c r="I38" s="9">
        <f t="shared" ref="I38:X38" si="12">MIN(I37/$D$41,0.999)</f>
        <v>0.37037037037037035</v>
      </c>
      <c r="J38" s="9">
        <f t="shared" si="12"/>
        <v>0.43209876543209874</v>
      </c>
      <c r="K38" s="9">
        <f t="shared" si="12"/>
        <v>0.49382716049382713</v>
      </c>
      <c r="L38" s="9">
        <f t="shared" si="12"/>
        <v>0.55555555555555558</v>
      </c>
      <c r="M38" s="9">
        <f t="shared" si="12"/>
        <v>0.61728395061728392</v>
      </c>
      <c r="N38" s="9">
        <f t="shared" si="12"/>
        <v>0.67901234567901236</v>
      </c>
      <c r="O38" s="9">
        <f t="shared" si="12"/>
        <v>0.7407407407407407</v>
      </c>
      <c r="P38" s="9">
        <f t="shared" si="12"/>
        <v>0.80246913580246915</v>
      </c>
      <c r="Q38" s="9">
        <f t="shared" si="12"/>
        <v>0.86419753086419748</v>
      </c>
      <c r="R38" s="9">
        <f t="shared" si="12"/>
        <v>0.92592592592592593</v>
      </c>
      <c r="S38" s="9">
        <f t="shared" si="12"/>
        <v>0.98765432098765427</v>
      </c>
      <c r="T38" s="9">
        <f t="shared" si="12"/>
        <v>0.999</v>
      </c>
      <c r="U38" s="9">
        <f t="shared" si="12"/>
        <v>0.999</v>
      </c>
      <c r="V38" s="9">
        <f t="shared" si="12"/>
        <v>0.999</v>
      </c>
      <c r="W38" s="9">
        <f t="shared" si="12"/>
        <v>0.999</v>
      </c>
      <c r="X38" s="9">
        <f t="shared" si="12"/>
        <v>0.999</v>
      </c>
    </row>
    <row r="39" spans="2:25" x14ac:dyDescent="0.3">
      <c r="B39" s="78"/>
      <c r="C39" s="76"/>
      <c r="D39" s="38">
        <v>0.8</v>
      </c>
      <c r="E39" s="38">
        <v>5</v>
      </c>
      <c r="F39" s="38">
        <v>1.5</v>
      </c>
      <c r="G39" s="3" t="s">
        <v>43</v>
      </c>
      <c r="H39" s="9">
        <f t="shared" ref="H39:X39" si="13">4*PI()*0.0000001*$D$41/$F$11/2/PI()*((1+H38)*LN(1+H38)+(1-H38)*LN(1-H38))*MAX(H37/$D$41,1)+$F$13/1000</f>
        <v>7.8239158105859329E-4</v>
      </c>
      <c r="I39" s="9">
        <f t="shared" si="13"/>
        <v>1.1351817015136771E-3</v>
      </c>
      <c r="J39" s="9">
        <f t="shared" si="13"/>
        <v>1.559421780538811E-3</v>
      </c>
      <c r="K39" s="9">
        <f t="shared" si="13"/>
        <v>2.0594860543787746E-3</v>
      </c>
      <c r="L39" s="9">
        <f t="shared" si="13"/>
        <v>2.6411410477178163E-3</v>
      </c>
      <c r="M39" s="9">
        <f t="shared" si="13"/>
        <v>3.312088740294795E-3</v>
      </c>
      <c r="N39" s="9">
        <f t="shared" si="13"/>
        <v>4.0828739542869349E-3</v>
      </c>
      <c r="O39" s="9">
        <f t="shared" si="13"/>
        <v>4.968513982900602E-3</v>
      </c>
      <c r="P39" s="9">
        <f t="shared" si="13"/>
        <v>5.9917429694083353E-3</v>
      </c>
      <c r="Q39" s="9">
        <f t="shared" si="13"/>
        <v>7.1905576361995568E-3</v>
      </c>
      <c r="R39" s="9">
        <f t="shared" si="13"/>
        <v>8.6411302632779102E-3</v>
      </c>
      <c r="S39" s="9">
        <f t="shared" si="13"/>
        <v>1.0594048848435256E-2</v>
      </c>
      <c r="T39" s="9">
        <f t="shared" si="13"/>
        <v>1.1681193540116928E-2</v>
      </c>
      <c r="U39" s="9">
        <f t="shared" si="13"/>
        <v>1.2368322571888513E-2</v>
      </c>
      <c r="V39" s="9">
        <f t="shared" si="13"/>
        <v>1.3055451603660099E-2</v>
      </c>
      <c r="W39" s="9">
        <f t="shared" si="13"/>
        <v>1.374258063543168E-2</v>
      </c>
      <c r="X39" s="9">
        <f t="shared" si="13"/>
        <v>1.4429709667203264E-2</v>
      </c>
    </row>
    <row r="40" spans="2:25" x14ac:dyDescent="0.3">
      <c r="B40" s="78"/>
      <c r="C40" s="76"/>
      <c r="D40" s="3" t="s">
        <v>24</v>
      </c>
      <c r="E40" s="3" t="s">
        <v>1</v>
      </c>
      <c r="F40" s="3" t="s">
        <v>2</v>
      </c>
      <c r="G40" s="3" t="s">
        <v>23</v>
      </c>
      <c r="H40" s="9">
        <f t="shared" ref="H40:X40" si="14">$D$41*$F$9/($F$9+H39)</f>
        <v>161.09969254884754</v>
      </c>
      <c r="I40" s="9">
        <f t="shared" si="14"/>
        <v>160.69699791768335</v>
      </c>
      <c r="J40" s="9">
        <f t="shared" si="14"/>
        <v>160.21540434914368</v>
      </c>
      <c r="K40" s="9">
        <f t="shared" si="14"/>
        <v>159.65142934079284</v>
      </c>
      <c r="L40" s="9">
        <f t="shared" si="14"/>
        <v>159.00041063477505</v>
      </c>
      <c r="M40" s="9">
        <f t="shared" si="14"/>
        <v>158.25601454389457</v>
      </c>
      <c r="N40" s="9">
        <f t="shared" si="14"/>
        <v>157.40940874899309</v>
      </c>
      <c r="O40" s="9">
        <f t="shared" si="14"/>
        <v>156.44776494484287</v>
      </c>
      <c r="P40" s="9">
        <f t="shared" si="14"/>
        <v>155.35125164409098</v>
      </c>
      <c r="Q40" s="9">
        <f t="shared" si="14"/>
        <v>154.08597103121619</v>
      </c>
      <c r="R40" s="9">
        <f t="shared" si="14"/>
        <v>152.58226279515276</v>
      </c>
      <c r="S40" s="9">
        <f t="shared" si="14"/>
        <v>150.60356085402944</v>
      </c>
      <c r="T40" s="9">
        <f t="shared" si="14"/>
        <v>149.52413987961896</v>
      </c>
      <c r="U40" s="9">
        <f t="shared" si="14"/>
        <v>148.84983713920855</v>
      </c>
      <c r="V40" s="9">
        <f t="shared" si="14"/>
        <v>148.18158884487354</v>
      </c>
      <c r="W40" s="9">
        <f t="shared" si="14"/>
        <v>147.51931381834203</v>
      </c>
      <c r="X40" s="9">
        <f t="shared" si="14"/>
        <v>146.86293232614054</v>
      </c>
    </row>
    <row r="41" spans="2:25" x14ac:dyDescent="0.3">
      <c r="B41" s="78"/>
      <c r="C41" s="76"/>
      <c r="D41" s="80">
        <v>162</v>
      </c>
      <c r="E41" s="80">
        <v>0.14000000000000001</v>
      </c>
      <c r="F41" s="80">
        <v>21</v>
      </c>
      <c r="G41" s="3" t="s">
        <v>31</v>
      </c>
      <c r="H41" s="9">
        <f>H37/H40</f>
        <v>0.31036682447323322</v>
      </c>
      <c r="I41" s="9">
        <f t="shared" ref="I41:X41" si="15">I37/I40</f>
        <v>0.37337349656485092</v>
      </c>
      <c r="J41" s="9">
        <f t="shared" si="15"/>
        <v>0.43691179561894689</v>
      </c>
      <c r="K41" s="9">
        <f t="shared" si="15"/>
        <v>0.50109166156747365</v>
      </c>
      <c r="L41" s="9">
        <f t="shared" si="15"/>
        <v>0.56603627399888023</v>
      </c>
      <c r="M41" s="9">
        <f t="shared" si="15"/>
        <v>0.63188751649159958</v>
      </c>
      <c r="N41" s="9">
        <f t="shared" si="15"/>
        <v>0.69881464439909879</v>
      </c>
      <c r="O41" s="9">
        <f t="shared" si="15"/>
        <v>0.76702917451270158</v>
      </c>
      <c r="P41" s="9">
        <f t="shared" si="15"/>
        <v>0.83681334153540921</v>
      </c>
      <c r="Q41" s="9">
        <f t="shared" si="15"/>
        <v>0.90858368911234288</v>
      </c>
      <c r="R41" s="9">
        <f t="shared" si="15"/>
        <v>0.98307625835501244</v>
      </c>
      <c r="S41" s="9">
        <f t="shared" si="15"/>
        <v>1.0623918790013069</v>
      </c>
      <c r="T41" s="9">
        <f t="shared" si="15"/>
        <v>1.1369401632195715</v>
      </c>
      <c r="U41" s="9">
        <f t="shared" si="15"/>
        <v>1.2092724013641947</v>
      </c>
      <c r="V41" s="9">
        <f t="shared" si="15"/>
        <v>1.2822105733992688</v>
      </c>
      <c r="W41" s="9">
        <f t="shared" si="15"/>
        <v>1.3557546793247943</v>
      </c>
      <c r="X41" s="9">
        <f t="shared" si="15"/>
        <v>1.4299047191407708</v>
      </c>
    </row>
    <row r="42" spans="2:25" x14ac:dyDescent="0.3">
      <c r="B42" s="78"/>
      <c r="C42" s="76"/>
      <c r="D42" s="80"/>
      <c r="E42" s="80"/>
      <c r="F42" s="80"/>
      <c r="G42" s="3" t="s">
        <v>40</v>
      </c>
      <c r="H42" s="9">
        <f t="shared" ref="H42:X42" si="16">4*PI()*0.0000001*H25^2/(PI())*($D$39/((1+EXP(-$E$39*(H41-1)))^$F$39))</f>
        <v>4.494325514687322E-5</v>
      </c>
      <c r="I42" s="9">
        <f t="shared" si="16"/>
        <v>7.0521732777344145E-5</v>
      </c>
      <c r="J42" s="9">
        <f t="shared" si="16"/>
        <v>1.1030082602989369E-4</v>
      </c>
      <c r="K42" s="9">
        <f t="shared" si="16"/>
        <v>1.7170564877767871E-4</v>
      </c>
      <c r="L42" s="9">
        <f t="shared" si="16"/>
        <v>2.6545586825180953E-4</v>
      </c>
      <c r="M42" s="9">
        <f t="shared" si="16"/>
        <v>4.0633005757326082E-4</v>
      </c>
      <c r="N42" s="9">
        <f t="shared" si="16"/>
        <v>6.1331196542282757E-4</v>
      </c>
      <c r="O42" s="9">
        <f t="shared" si="16"/>
        <v>9.0817423906240451E-4</v>
      </c>
      <c r="P42" s="9">
        <f t="shared" si="16"/>
        <v>1.3112827154660085E-3</v>
      </c>
      <c r="Q42" s="9">
        <f t="shared" si="16"/>
        <v>1.8339334178186281E-3</v>
      </c>
      <c r="R42" s="9">
        <f t="shared" si="16"/>
        <v>2.4686988553719179E-3</v>
      </c>
      <c r="S42" s="9">
        <f t="shared" si="16"/>
        <v>3.1841564333051861E-3</v>
      </c>
      <c r="T42" s="9">
        <f t="shared" si="16"/>
        <v>3.8778985389900235E-3</v>
      </c>
      <c r="U42" s="9">
        <f t="shared" si="16"/>
        <v>4.5139933677151552E-3</v>
      </c>
      <c r="V42" s="9">
        <f t="shared" si="16"/>
        <v>5.0648595880965815E-3</v>
      </c>
      <c r="W42" s="9">
        <f t="shared" si="16"/>
        <v>5.5107700579287459E-3</v>
      </c>
      <c r="X42" s="9">
        <f t="shared" si="16"/>
        <v>5.8500979161903539E-3</v>
      </c>
    </row>
    <row r="43" spans="2:25" x14ac:dyDescent="0.3">
      <c r="B43" s="78"/>
      <c r="C43" s="76"/>
      <c r="D43" s="80"/>
      <c r="E43" s="80"/>
      <c r="F43" s="80"/>
      <c r="G43" s="3" t="s">
        <v>41</v>
      </c>
      <c r="H43" s="9">
        <f>H42*$J$6</f>
        <v>2.2471627573436609E-3</v>
      </c>
      <c r="I43" s="9">
        <f t="shared" ref="I43:X43" si="17">I42*$J$6</f>
        <v>3.5260866388672073E-3</v>
      </c>
      <c r="J43" s="9">
        <f t="shared" si="17"/>
        <v>5.5150413014946843E-3</v>
      </c>
      <c r="K43" s="9">
        <f t="shared" si="17"/>
        <v>8.5852824388839358E-3</v>
      </c>
      <c r="L43" s="9">
        <f t="shared" si="17"/>
        <v>1.3272793412590477E-2</v>
      </c>
      <c r="M43" s="9">
        <f t="shared" si="17"/>
        <v>2.0316502878663042E-2</v>
      </c>
      <c r="N43" s="9">
        <f t="shared" si="17"/>
        <v>3.0665598271141379E-2</v>
      </c>
      <c r="O43" s="9">
        <f t="shared" si="17"/>
        <v>4.5408711953120226E-2</v>
      </c>
      <c r="P43" s="9">
        <f t="shared" si="17"/>
        <v>6.5564135773300419E-2</v>
      </c>
      <c r="Q43" s="9">
        <f t="shared" si="17"/>
        <v>9.1696670890931406E-2</v>
      </c>
      <c r="R43" s="9">
        <f t="shared" si="17"/>
        <v>0.1234349427685959</v>
      </c>
      <c r="S43" s="9">
        <f t="shared" si="17"/>
        <v>0.15920782166525929</v>
      </c>
      <c r="T43" s="9">
        <f t="shared" si="17"/>
        <v>0.19389492694950117</v>
      </c>
      <c r="U43" s="9">
        <f t="shared" si="17"/>
        <v>0.22569966838575775</v>
      </c>
      <c r="V43" s="9">
        <f t="shared" si="17"/>
        <v>0.25324297940482909</v>
      </c>
      <c r="W43" s="9">
        <f t="shared" si="17"/>
        <v>0.27553850289643728</v>
      </c>
      <c r="X43" s="9">
        <f t="shared" si="17"/>
        <v>0.29250489580951772</v>
      </c>
    </row>
    <row r="44" spans="2:25" x14ac:dyDescent="0.3">
      <c r="B44" s="78"/>
      <c r="C44" s="76"/>
      <c r="D44" s="80"/>
      <c r="E44" s="80"/>
      <c r="F44" s="80"/>
      <c r="G44" s="3" t="s">
        <v>22</v>
      </c>
      <c r="H44" s="9">
        <f>0.0001*H37^($F$41+1)/(2^($F$41+1)*H40^$F$41)*COMBIN($F$41+1,($F$41+1)/2)</f>
        <v>1.7953387463346677E-14</v>
      </c>
      <c r="I44" s="9">
        <f t="shared" ref="I44:X44" si="18">0.0001*I37^($F$41+1)/(2^($F$41+1)*I40^$F$41)*COMBIN($F$41+1,($F$41+1)/2)</f>
        <v>1.0446233435190996E-12</v>
      </c>
      <c r="J44" s="9">
        <f t="shared" si="18"/>
        <v>3.3049314667898529E-11</v>
      </c>
      <c r="K44" s="9">
        <f t="shared" si="18"/>
        <v>6.7165450628055527E-10</v>
      </c>
      <c r="L44" s="9">
        <f t="shared" si="18"/>
        <v>9.7671373465017794E-9</v>
      </c>
      <c r="M44" s="9">
        <f t="shared" si="18"/>
        <v>1.0945372307496724E-7</v>
      </c>
      <c r="N44" s="9">
        <f t="shared" si="18"/>
        <v>9.9721748456993804E-7</v>
      </c>
      <c r="O44" s="9">
        <f t="shared" si="18"/>
        <v>7.6917655850193824E-6</v>
      </c>
      <c r="P44" s="9">
        <f t="shared" si="18"/>
        <v>5.1872730920824754E-5</v>
      </c>
      <c r="Q44" s="9">
        <f t="shared" si="18"/>
        <v>3.1447559353658076E-4</v>
      </c>
      <c r="R44" s="9">
        <f t="shared" si="18"/>
        <v>1.7628602124002181E-3</v>
      </c>
      <c r="S44" s="9">
        <f t="shared" si="18"/>
        <v>9.5916831042742855E-3</v>
      </c>
      <c r="T44" s="9">
        <f t="shared" si="18"/>
        <v>4.2338352259303727E-2</v>
      </c>
      <c r="U44" s="9">
        <f t="shared" si="18"/>
        <v>0.16370981737722592</v>
      </c>
      <c r="V44" s="9">
        <f t="shared" si="18"/>
        <v>0.59114671918301731</v>
      </c>
      <c r="W44" s="9">
        <f t="shared" si="18"/>
        <v>2.0073754137560811</v>
      </c>
      <c r="X44" s="9">
        <f t="shared" si="18"/>
        <v>6.4485732204062449</v>
      </c>
    </row>
    <row r="45" spans="2:25" x14ac:dyDescent="0.3">
      <c r="B45" s="78"/>
      <c r="C45" s="77"/>
      <c r="D45" s="80"/>
      <c r="E45" s="80"/>
      <c r="F45" s="80"/>
      <c r="G45" s="14" t="s">
        <v>39</v>
      </c>
      <c r="H45" s="30">
        <f>H43+H44</f>
        <v>2.2471627573616144E-3</v>
      </c>
      <c r="I45" s="30">
        <f t="shared" ref="I45:X45" si="19">I43+I44</f>
        <v>3.5260866399118304E-3</v>
      </c>
      <c r="J45" s="30">
        <f t="shared" si="19"/>
        <v>5.5150413345439993E-3</v>
      </c>
      <c r="K45" s="30">
        <f t="shared" si="19"/>
        <v>8.5852831105384421E-3</v>
      </c>
      <c r="L45" s="30">
        <f t="shared" si="19"/>
        <v>1.3272803179727824E-2</v>
      </c>
      <c r="M45" s="30">
        <f t="shared" si="19"/>
        <v>2.0316612332386116E-2</v>
      </c>
      <c r="N45" s="30">
        <f t="shared" si="19"/>
        <v>3.066659548862595E-2</v>
      </c>
      <c r="O45" s="30">
        <f t="shared" si="19"/>
        <v>4.5416403718705242E-2</v>
      </c>
      <c r="P45" s="30">
        <f t="shared" si="19"/>
        <v>6.5616008504221238E-2</v>
      </c>
      <c r="Q45" s="30">
        <f t="shared" si="19"/>
        <v>9.2011146484467982E-2</v>
      </c>
      <c r="R45" s="30">
        <f t="shared" si="19"/>
        <v>0.12519780298099611</v>
      </c>
      <c r="S45" s="30">
        <f t="shared" si="19"/>
        <v>0.16879950476953356</v>
      </c>
      <c r="T45" s="30">
        <f t="shared" si="19"/>
        <v>0.23623327920880488</v>
      </c>
      <c r="U45" s="30">
        <f t="shared" si="19"/>
        <v>0.38940948576298368</v>
      </c>
      <c r="V45" s="30">
        <f t="shared" si="19"/>
        <v>0.8443896985878464</v>
      </c>
      <c r="W45" s="30">
        <f t="shared" si="19"/>
        <v>2.2829139166525185</v>
      </c>
      <c r="X45" s="30">
        <f t="shared" si="19"/>
        <v>6.7410781162157623</v>
      </c>
      <c r="Y45" t="s">
        <v>70</v>
      </c>
    </row>
    <row r="48" spans="2:25" x14ac:dyDescent="0.3">
      <c r="B48" s="1" t="s">
        <v>55</v>
      </c>
      <c r="C48" s="36"/>
      <c r="D48" s="36"/>
      <c r="E48" s="36"/>
      <c r="F48" s="36"/>
      <c r="G48" s="90" t="s">
        <v>35</v>
      </c>
      <c r="H48" s="90"/>
      <c r="I48" s="90"/>
      <c r="J48" s="90"/>
      <c r="K48" s="90"/>
      <c r="L48" s="90"/>
      <c r="M48" s="90"/>
      <c r="N48" s="90"/>
      <c r="O48" s="90"/>
      <c r="P48" s="90"/>
      <c r="Q48" s="90"/>
      <c r="R48" s="90"/>
      <c r="S48" s="90"/>
      <c r="T48" s="90"/>
      <c r="U48" s="90"/>
      <c r="V48" s="90"/>
      <c r="W48" s="90"/>
    </row>
    <row r="49" spans="2:23" ht="15.6" x14ac:dyDescent="0.3">
      <c r="C49" s="8" t="s">
        <v>0</v>
      </c>
      <c r="D49" s="8" t="s">
        <v>1</v>
      </c>
      <c r="E49" s="8" t="s">
        <v>2</v>
      </c>
      <c r="F49" s="8" t="s">
        <v>15</v>
      </c>
      <c r="G49" s="26">
        <v>50</v>
      </c>
      <c r="H49" s="26">
        <v>60</v>
      </c>
      <c r="I49" s="26">
        <v>70</v>
      </c>
      <c r="J49" s="26">
        <v>80</v>
      </c>
      <c r="K49" s="26">
        <v>90</v>
      </c>
      <c r="L49" s="26">
        <v>100</v>
      </c>
      <c r="M49" s="26">
        <v>110</v>
      </c>
      <c r="N49" s="26">
        <v>120</v>
      </c>
      <c r="O49" s="26">
        <v>130</v>
      </c>
      <c r="P49" s="26">
        <v>140</v>
      </c>
      <c r="Q49" s="26">
        <v>150</v>
      </c>
      <c r="R49" s="26">
        <v>160</v>
      </c>
      <c r="S49" s="26">
        <v>170</v>
      </c>
      <c r="T49" s="26">
        <v>180</v>
      </c>
      <c r="U49" s="26">
        <v>190</v>
      </c>
      <c r="V49" s="26">
        <v>200</v>
      </c>
      <c r="W49" s="26">
        <v>210</v>
      </c>
    </row>
    <row r="50" spans="2:23" x14ac:dyDescent="0.3">
      <c r="B50" s="18" t="str">
        <f t="shared" ref="B50:B51" si="20">CONCATENATE("FEA",C50,"_",D50,"_",E50)</f>
        <v>FEA162_0,14_21</v>
      </c>
      <c r="C50" s="24">
        <v>162</v>
      </c>
      <c r="D50" s="25">
        <v>0.14000000000000001</v>
      </c>
      <c r="E50" s="24">
        <v>21</v>
      </c>
      <c r="F50" s="24">
        <v>50</v>
      </c>
      <c r="G50" s="11">
        <v>1.3038396369802899E-3</v>
      </c>
      <c r="H50" s="11">
        <v>2.5256586412246698E-3</v>
      </c>
      <c r="I50" s="11">
        <v>4.6760998896999599E-3</v>
      </c>
      <c r="J50" s="11">
        <v>7.8362420912129402E-3</v>
      </c>
      <c r="K50" s="11">
        <v>1.27003956951316E-2</v>
      </c>
      <c r="L50" s="11">
        <v>1.97093427596483E-2</v>
      </c>
      <c r="M50" s="11">
        <v>2.9428618605629401E-2</v>
      </c>
      <c r="N50" s="11">
        <v>4.3182183086641603E-2</v>
      </c>
      <c r="O50" s="11">
        <v>6.2078709428995398E-2</v>
      </c>
      <c r="P50" s="11">
        <v>8.7976826959380694E-2</v>
      </c>
      <c r="Q50" s="11">
        <v>0.124887828119486</v>
      </c>
      <c r="R50" s="11">
        <v>0.177123735940794</v>
      </c>
      <c r="S50" s="11">
        <v>0.25742668377029099</v>
      </c>
      <c r="T50" s="11">
        <v>0.40782703297683598</v>
      </c>
      <c r="U50" s="11">
        <v>0.89649048130483</v>
      </c>
      <c r="V50" s="5">
        <v>2.5187550519337099</v>
      </c>
      <c r="W50" s="5">
        <v>7.6406400437406399</v>
      </c>
    </row>
    <row r="51" spans="2:23" x14ac:dyDescent="0.3">
      <c r="B51" s="18" t="str">
        <f t="shared" si="20"/>
        <v>FEA157_0,14_19</v>
      </c>
      <c r="C51" s="24">
        <v>157</v>
      </c>
      <c r="D51" s="25">
        <v>0.14000000000000001</v>
      </c>
      <c r="E51" s="24">
        <v>19</v>
      </c>
      <c r="F51" s="24">
        <v>50</v>
      </c>
      <c r="G51" s="11">
        <v>1.36733702030526E-3</v>
      </c>
      <c r="H51" s="11">
        <v>2.6733429297821801E-3</v>
      </c>
      <c r="I51" s="11">
        <v>4.9461320823111603E-3</v>
      </c>
      <c r="J51" s="11">
        <v>8.2938676492393306E-3</v>
      </c>
      <c r="K51" s="11">
        <v>1.33755971949738E-2</v>
      </c>
      <c r="L51" s="11">
        <v>2.0773262833768E-2</v>
      </c>
      <c r="M51" s="11">
        <v>3.1049491733616399E-2</v>
      </c>
      <c r="N51" s="11">
        <v>4.5502972344465202E-2</v>
      </c>
      <c r="O51" s="11">
        <v>6.5596107369933404E-2</v>
      </c>
      <c r="P51" s="11">
        <v>9.3731637635857998E-2</v>
      </c>
      <c r="Q51" s="11">
        <v>0.13219483160298401</v>
      </c>
      <c r="R51" s="11">
        <v>0.188967329380409</v>
      </c>
      <c r="S51" s="11">
        <v>0.27508186395187201</v>
      </c>
      <c r="T51" s="11">
        <v>0.45102549751385601</v>
      </c>
      <c r="U51" s="11">
        <v>0.979522177530323</v>
      </c>
      <c r="V51" s="5">
        <v>2.5459095204088298</v>
      </c>
      <c r="W51" s="5">
        <v>6.98653196644202</v>
      </c>
    </row>
    <row r="53" spans="2:23" x14ac:dyDescent="0.3">
      <c r="D53" s="10"/>
      <c r="E53" s="19"/>
      <c r="F53" s="20"/>
      <c r="G53" s="7"/>
      <c r="H53" s="6"/>
      <c r="I53" s="6"/>
      <c r="J53" s="6"/>
      <c r="K53" s="6"/>
      <c r="L53" s="6"/>
      <c r="M53" s="6"/>
      <c r="N53" s="6"/>
      <c r="O53" s="6"/>
      <c r="P53" s="6"/>
      <c r="Q53" s="6"/>
      <c r="R53" s="6"/>
    </row>
    <row r="54" spans="2:23" x14ac:dyDescent="0.3">
      <c r="D54" s="21"/>
    </row>
    <row r="62" spans="2:23" x14ac:dyDescent="0.3">
      <c r="E62" s="6"/>
      <c r="F62" s="6"/>
    </row>
    <row r="63" spans="2:23" x14ac:dyDescent="0.3">
      <c r="E63" s="6"/>
      <c r="F63" s="6"/>
    </row>
    <row r="64" spans="2:23" x14ac:dyDescent="0.3">
      <c r="E64" s="6"/>
      <c r="F64" s="6"/>
    </row>
    <row r="74" spans="5:6" x14ac:dyDescent="0.3">
      <c r="E74" s="6"/>
      <c r="F74" s="6"/>
    </row>
    <row r="75" spans="5:6" x14ac:dyDescent="0.3">
      <c r="E75" s="6"/>
      <c r="F75" s="6"/>
    </row>
    <row r="76" spans="5:6" x14ac:dyDescent="0.3">
      <c r="E76" s="6"/>
      <c r="F76" s="6"/>
    </row>
  </sheetData>
  <mergeCells count="23">
    <mergeCell ref="H21:X21"/>
    <mergeCell ref="D11:E11"/>
    <mergeCell ref="D8:E8"/>
    <mergeCell ref="D9:E9"/>
    <mergeCell ref="D13:E13"/>
    <mergeCell ref="D5:G5"/>
    <mergeCell ref="I5:K5"/>
    <mergeCell ref="D6:E6"/>
    <mergeCell ref="D7:E7"/>
    <mergeCell ref="D10:E10"/>
    <mergeCell ref="B22:B34"/>
    <mergeCell ref="C22:C34"/>
    <mergeCell ref="D22:D34"/>
    <mergeCell ref="G48:W48"/>
    <mergeCell ref="H36:X36"/>
    <mergeCell ref="D37:F37"/>
    <mergeCell ref="B38:B45"/>
    <mergeCell ref="C38:C45"/>
    <mergeCell ref="D41:D45"/>
    <mergeCell ref="E41:E45"/>
    <mergeCell ref="F41:F45"/>
    <mergeCell ref="E22:E34"/>
    <mergeCell ref="F22:F34"/>
  </mergeCells>
  <pageMargins left="0.7" right="0.7" top="0.75" bottom="0.75" header="0.3" footer="0.3"/>
  <pageSetup paperSize="9" orientation="portrait" horizontalDpi="30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Cover</vt:lpstr>
      <vt:lpstr>BSCCO (1st Gen.)</vt:lpstr>
      <vt:lpstr>ReBCO (2nd Gen.)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Fernandes</dc:creator>
  <cp:lastModifiedBy>João Filipe Pereira Fernandes</cp:lastModifiedBy>
  <dcterms:created xsi:type="dcterms:W3CDTF">2022-12-05T11:22:30Z</dcterms:created>
  <dcterms:modified xsi:type="dcterms:W3CDTF">2024-01-03T14:01:52Z</dcterms:modified>
</cp:coreProperties>
</file>